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WE A-S\Medarbejdermapper\Hanne\0000-DK Projekter\4170-Overgaard\Køberetsmøde 17062020\"/>
    </mc:Choice>
  </mc:AlternateContent>
  <xr:revisionPtr revIDLastSave="0" documentId="8_{6926E568-82E4-4FEF-92D4-A7A91F6568C3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KAT" sheetId="1" r:id="rId1"/>
    <sheet name="Likviditet (EJ AJOUR)" sheetId="2" r:id="rId2"/>
  </sheets>
  <definedNames>
    <definedName name="_xlnm.Print_Area" localSheetId="1">'Likviditet (EJ AJOUR)'!$A$51:$O$85</definedName>
    <definedName name="_xlnm.Print_Area" localSheetId="0">SKAT!$A$1:$P$49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34" i="1"/>
  <c r="F31" i="1"/>
  <c r="F39" i="1" s="1"/>
  <c r="F37" i="1"/>
  <c r="K30" i="1"/>
  <c r="F29" i="1"/>
  <c r="E29" i="1"/>
  <c r="E27" i="1"/>
  <c r="E25" i="1"/>
  <c r="D40" i="1"/>
  <c r="D39" i="1"/>
  <c r="D37" i="1"/>
  <c r="D34" i="1"/>
  <c r="D31" i="1"/>
  <c r="D30" i="1"/>
  <c r="D27" i="1"/>
  <c r="C27" i="1"/>
  <c r="C29" i="1" s="1"/>
  <c r="C25" i="1"/>
  <c r="G4" i="1"/>
  <c r="D15" i="1"/>
  <c r="C15" i="1"/>
  <c r="B15" i="1"/>
  <c r="B14" i="1"/>
  <c r="B13" i="1"/>
  <c r="H35" i="1" l="1"/>
  <c r="H34" i="1"/>
  <c r="F40" i="1"/>
  <c r="R61" i="1" l="1"/>
  <c r="R60" i="1"/>
  <c r="R59" i="1"/>
  <c r="R58" i="1"/>
  <c r="E5" i="1"/>
  <c r="B6" i="1"/>
  <c r="B16" i="1" l="1"/>
  <c r="G28" i="1"/>
  <c r="H28" i="1"/>
  <c r="D29" i="1"/>
  <c r="C30" i="1"/>
  <c r="D25" i="1"/>
  <c r="C13" i="1" l="1"/>
  <c r="D35" i="1" l="1"/>
  <c r="D6" i="1"/>
  <c r="D13" i="1"/>
  <c r="D16" i="1" s="1"/>
  <c r="D17" i="1" l="1"/>
  <c r="D14" i="1"/>
  <c r="S69" i="2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1" i="2" s="1"/>
  <c r="S82" i="2" s="1"/>
  <c r="S83" i="2" s="1"/>
  <c r="S84" i="2" s="1"/>
  <c r="R69" i="2"/>
  <c r="R70" i="2" s="1"/>
  <c r="R71" i="2" s="1"/>
  <c r="R72" i="2" s="1"/>
  <c r="R73" i="2" s="1"/>
  <c r="R74" i="2" s="1"/>
  <c r="R75" i="2" s="1"/>
  <c r="R76" i="2" s="1"/>
  <c r="R77" i="2" s="1"/>
  <c r="R78" i="2" s="1"/>
  <c r="R79" i="2" s="1"/>
  <c r="R80" i="2" s="1"/>
  <c r="R81" i="2" s="1"/>
  <c r="R82" i="2" s="1"/>
  <c r="R83" i="2" s="1"/>
  <c r="R84" i="2" s="1"/>
  <c r="R61" i="2"/>
  <c r="B7" i="2"/>
  <c r="C23" i="2"/>
  <c r="B5" i="2"/>
  <c r="E60" i="2" s="1"/>
  <c r="H23" i="1"/>
  <c r="H27" i="1" l="1"/>
  <c r="H29" i="1" s="1"/>
  <c r="H37" i="1"/>
  <c r="C37" i="1"/>
  <c r="B17" i="1"/>
  <c r="D60" i="2"/>
  <c r="D68" i="2"/>
  <c r="D61" i="2"/>
  <c r="D69" i="2"/>
  <c r="R62" i="2"/>
  <c r="H30" i="1" l="1"/>
  <c r="H31" i="1" s="1"/>
  <c r="R63" i="2"/>
  <c r="D62" i="2"/>
  <c r="G25" i="1"/>
  <c r="F25" i="1"/>
  <c r="H25" i="1" s="1"/>
  <c r="F23" i="1"/>
  <c r="E23" i="1"/>
  <c r="H39" i="1" l="1"/>
  <c r="H40" i="1"/>
  <c r="R64" i="2"/>
  <c r="D63" i="2"/>
  <c r="F27" i="1"/>
  <c r="E63" i="2"/>
  <c r="E62" i="2"/>
  <c r="E61" i="2"/>
  <c r="C12" i="2"/>
  <c r="C11" i="2"/>
  <c r="K54" i="2"/>
  <c r="L23" i="2"/>
  <c r="F23" i="2"/>
  <c r="D12" i="2"/>
  <c r="B12" i="2"/>
  <c r="D11" i="2"/>
  <c r="B11" i="2"/>
  <c r="L23" i="1"/>
  <c r="L28" i="1" s="1"/>
  <c r="F30" i="1" l="1"/>
  <c r="D13" i="2"/>
  <c r="L61" i="2"/>
  <c r="L62" i="2"/>
  <c r="Y62" i="2" s="1"/>
  <c r="L63" i="2"/>
  <c r="R65" i="2"/>
  <c r="L64" i="2"/>
  <c r="D64" i="2"/>
  <c r="D70" i="2"/>
  <c r="B13" i="2"/>
  <c r="R66" i="2" l="1"/>
  <c r="D65" i="2"/>
  <c r="D76" i="2"/>
  <c r="R67" i="2" l="1"/>
  <c r="D67" i="2" s="1"/>
  <c r="D66" i="2"/>
  <c r="R85" i="2"/>
  <c r="C31" i="1"/>
  <c r="B4" i="2"/>
  <c r="D78" i="2"/>
  <c r="D77" i="2"/>
  <c r="D75" i="2"/>
  <c r="D74" i="2"/>
  <c r="D73" i="2"/>
  <c r="D72" i="2"/>
  <c r="D71" i="2"/>
  <c r="C35" i="1" l="1"/>
  <c r="C40" i="1" s="1"/>
  <c r="C34" i="1"/>
  <c r="C39" i="1"/>
  <c r="D25" i="2"/>
  <c r="F25" i="2" s="1"/>
  <c r="H25" i="2" s="1"/>
  <c r="B6" i="2"/>
  <c r="C25" i="2"/>
  <c r="D15" i="2"/>
  <c r="D16" i="2" s="1"/>
  <c r="D17" i="2" s="1"/>
  <c r="B15" i="2"/>
  <c r="B16" i="2" s="1"/>
  <c r="B17" i="2" s="1"/>
  <c r="D14" i="2"/>
  <c r="E25" i="2" l="1"/>
  <c r="G25" i="2" s="1"/>
  <c r="C52" i="2"/>
  <c r="G59" i="2" s="1"/>
  <c r="K55" i="2"/>
  <c r="B59" i="2"/>
  <c r="S85" i="2"/>
  <c r="B80" i="2"/>
  <c r="B81" i="2"/>
  <c r="B82" i="2"/>
  <c r="B83" i="2"/>
  <c r="B84" i="2"/>
  <c r="E80" i="2"/>
  <c r="E84" i="2"/>
  <c r="D84" i="2"/>
  <c r="E83" i="2"/>
  <c r="D83" i="2"/>
  <c r="E82" i="2"/>
  <c r="D82" i="2"/>
  <c r="E81" i="2"/>
  <c r="D81" i="2"/>
  <c r="D80" i="2"/>
  <c r="E69" i="2"/>
  <c r="E68" i="2"/>
  <c r="E67" i="2"/>
  <c r="E66" i="2"/>
  <c r="E65" i="2"/>
  <c r="E64" i="2"/>
  <c r="E70" i="2"/>
  <c r="E79" i="2"/>
  <c r="E78" i="2"/>
  <c r="E77" i="2"/>
  <c r="E76" i="2"/>
  <c r="E75" i="2"/>
  <c r="E74" i="2"/>
  <c r="E73" i="2"/>
  <c r="E72" i="2"/>
  <c r="E71" i="2"/>
  <c r="K53" i="2"/>
  <c r="D79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H28" i="2"/>
  <c r="G28" i="2"/>
  <c r="D27" i="2"/>
  <c r="D29" i="2" s="1"/>
  <c r="N25" i="2"/>
  <c r="U59" i="2" s="1"/>
  <c r="U60" i="2" s="1"/>
  <c r="U61" i="2" s="1"/>
  <c r="U62" i="2" s="1"/>
  <c r="U63" i="2" s="1"/>
  <c r="L28" i="2"/>
  <c r="H23" i="2"/>
  <c r="F27" i="2"/>
  <c r="F29" i="2" s="1"/>
  <c r="C15" i="2"/>
  <c r="C13" i="2"/>
  <c r="C14" i="2" s="1"/>
  <c r="R57" i="1"/>
  <c r="R56" i="1"/>
  <c r="R55" i="1"/>
  <c r="R54" i="1"/>
  <c r="R53" i="1"/>
  <c r="C60" i="2" l="1"/>
  <c r="F60" i="2" s="1"/>
  <c r="G60" i="2" s="1"/>
  <c r="C61" i="2" s="1"/>
  <c r="L25" i="2"/>
  <c r="L30" i="2" s="1"/>
  <c r="U58" i="2"/>
  <c r="L37" i="2"/>
  <c r="L76" i="2"/>
  <c r="Y76" i="2" s="1"/>
  <c r="L71" i="2"/>
  <c r="Y71" i="2" s="1"/>
  <c r="L67" i="2"/>
  <c r="Y67" i="2" s="1"/>
  <c r="Y63" i="2"/>
  <c r="L74" i="2"/>
  <c r="Y74" i="2" s="1"/>
  <c r="L70" i="2"/>
  <c r="Y70" i="2" s="1"/>
  <c r="L66" i="2"/>
  <c r="Y66" i="2" s="1"/>
  <c r="L80" i="2"/>
  <c r="Y80" i="2" s="1"/>
  <c r="L73" i="2"/>
  <c r="Y73" i="2" s="1"/>
  <c r="L69" i="2"/>
  <c r="Y69" i="2" s="1"/>
  <c r="L65" i="2"/>
  <c r="Y65" i="2" s="1"/>
  <c r="Y61" i="2"/>
  <c r="L77" i="2"/>
  <c r="Y77" i="2" s="1"/>
  <c r="L72" i="2"/>
  <c r="Y72" i="2" s="1"/>
  <c r="L68" i="2"/>
  <c r="Y68" i="2" s="1"/>
  <c r="Y64" i="2"/>
  <c r="L60" i="2"/>
  <c r="Y60" i="2" s="1"/>
  <c r="L82" i="2"/>
  <c r="Y82" i="2" s="1"/>
  <c r="L83" i="2"/>
  <c r="Y83" i="2" s="1"/>
  <c r="L84" i="2"/>
  <c r="Y84" i="2" s="1"/>
  <c r="L79" i="2"/>
  <c r="Y79" i="2" s="1"/>
  <c r="L81" i="2"/>
  <c r="Y81" i="2" s="1"/>
  <c r="R86" i="2"/>
  <c r="L75" i="2"/>
  <c r="Y75" i="2" s="1"/>
  <c r="K23" i="2"/>
  <c r="M23" i="2" s="1"/>
  <c r="K25" i="2"/>
  <c r="K52" i="2" s="1"/>
  <c r="O59" i="2" s="1"/>
  <c r="K60" i="2" s="1"/>
  <c r="L78" i="2"/>
  <c r="Y78" i="2" s="1"/>
  <c r="C16" i="2"/>
  <c r="C17" i="2" s="1"/>
  <c r="B14" i="2"/>
  <c r="E23" i="2"/>
  <c r="E27" i="2" s="1"/>
  <c r="E29" i="2" s="1"/>
  <c r="E30" i="2" s="1"/>
  <c r="E31" i="2" s="1"/>
  <c r="C27" i="2"/>
  <c r="C29" i="2" s="1"/>
  <c r="C30" i="2" s="1"/>
  <c r="C31" i="2" s="1"/>
  <c r="C35" i="2" s="1"/>
  <c r="G23" i="2"/>
  <c r="D37" i="2"/>
  <c r="D30" i="2"/>
  <c r="D31" i="2" s="1"/>
  <c r="F30" i="2"/>
  <c r="F31" i="2" s="1"/>
  <c r="P25" i="2"/>
  <c r="N23" i="2"/>
  <c r="W59" i="2" s="1"/>
  <c r="P23" i="2"/>
  <c r="P28" i="2" s="1"/>
  <c r="L27" i="2"/>
  <c r="L29" i="2" s="1"/>
  <c r="V59" i="2" l="1"/>
  <c r="W60" i="2"/>
  <c r="F37" i="2"/>
  <c r="C37" i="2"/>
  <c r="C40" i="2" s="1"/>
  <c r="L31" i="2"/>
  <c r="L35" i="2" s="1"/>
  <c r="L40" i="2" s="1"/>
  <c r="W61" i="2"/>
  <c r="N60" i="2"/>
  <c r="M28" i="2"/>
  <c r="M27" i="2"/>
  <c r="M37" i="2"/>
  <c r="O23" i="2"/>
  <c r="O28" i="2" s="1"/>
  <c r="K27" i="2"/>
  <c r="K37" i="2"/>
  <c r="K28" i="2"/>
  <c r="M25" i="2"/>
  <c r="T59" i="2" s="1"/>
  <c r="T60" i="2" s="1"/>
  <c r="T61" i="2" s="1"/>
  <c r="T62" i="2" s="1"/>
  <c r="T63" i="2" s="1"/>
  <c r="T64" i="2" s="1"/>
  <c r="T65" i="2" s="1"/>
  <c r="T66" i="2" s="1"/>
  <c r="E37" i="2"/>
  <c r="F35" i="2"/>
  <c r="F34" i="2"/>
  <c r="E35" i="2"/>
  <c r="E34" i="2"/>
  <c r="D35" i="2"/>
  <c r="D40" i="2" s="1"/>
  <c r="D34" i="2"/>
  <c r="D39" i="2" s="1"/>
  <c r="C34" i="2"/>
  <c r="N28" i="2"/>
  <c r="N27" i="2"/>
  <c r="G27" i="2"/>
  <c r="G29" i="2" s="1"/>
  <c r="P27" i="2"/>
  <c r="P29" i="2" s="1"/>
  <c r="H27" i="2"/>
  <c r="H29" i="2" s="1"/>
  <c r="N37" i="2"/>
  <c r="G23" i="1"/>
  <c r="K23" i="1"/>
  <c r="K78" i="1"/>
  <c r="L78" i="1"/>
  <c r="E39" i="2" l="1"/>
  <c r="G27" i="1"/>
  <c r="G29" i="1" s="1"/>
  <c r="G37" i="1"/>
  <c r="K28" i="1"/>
  <c r="K27" i="1"/>
  <c r="F39" i="2"/>
  <c r="F40" i="2"/>
  <c r="C39" i="2"/>
  <c r="K79" i="1"/>
  <c r="N29" i="2"/>
  <c r="L34" i="2"/>
  <c r="L39" i="2" s="1"/>
  <c r="W62" i="2"/>
  <c r="O23" i="1"/>
  <c r="M29" i="2"/>
  <c r="K30" i="2"/>
  <c r="K29" i="2"/>
  <c r="O27" i="2"/>
  <c r="O29" i="2" s="1"/>
  <c r="O30" i="2" s="1"/>
  <c r="O31" i="2" s="1"/>
  <c r="E40" i="2"/>
  <c r="P30" i="2"/>
  <c r="P31" i="2" s="1"/>
  <c r="G30" i="2"/>
  <c r="G31" i="2" s="1"/>
  <c r="H30" i="2"/>
  <c r="H31" i="2" s="1"/>
  <c r="M23" i="1"/>
  <c r="N23" i="1"/>
  <c r="P23" i="1"/>
  <c r="P28" i="1" s="1"/>
  <c r="K25" i="1"/>
  <c r="M25" i="1"/>
  <c r="M52" i="1" s="1"/>
  <c r="M53" i="1" s="1"/>
  <c r="M51" i="1" s="1"/>
  <c r="L27" i="1"/>
  <c r="C14" i="1"/>
  <c r="M27" i="1" l="1"/>
  <c r="O53" i="1"/>
  <c r="M28" i="1"/>
  <c r="N28" i="1"/>
  <c r="M54" i="1"/>
  <c r="M55" i="1" s="1"/>
  <c r="M56" i="1" s="1"/>
  <c r="M57" i="1" s="1"/>
  <c r="O28" i="1"/>
  <c r="O37" i="1"/>
  <c r="K29" i="1"/>
  <c r="K31" i="1" s="1"/>
  <c r="V62" i="2"/>
  <c r="V61" i="2"/>
  <c r="V60" i="2"/>
  <c r="L29" i="1"/>
  <c r="O25" i="1"/>
  <c r="W63" i="2"/>
  <c r="U64" i="2"/>
  <c r="E30" i="1"/>
  <c r="E31" i="1" s="1"/>
  <c r="P37" i="1"/>
  <c r="Z60" i="2"/>
  <c r="AA60" i="2" s="1"/>
  <c r="AE60" i="2" s="1"/>
  <c r="Z61" i="2"/>
  <c r="AA61" i="2" s="1"/>
  <c r="K31" i="2"/>
  <c r="K35" i="2" s="1"/>
  <c r="K40" i="2" s="1"/>
  <c r="O25" i="2"/>
  <c r="P35" i="2"/>
  <c r="P34" i="2"/>
  <c r="H35" i="2"/>
  <c r="H34" i="2"/>
  <c r="G35" i="2"/>
  <c r="G34" i="2"/>
  <c r="G37" i="2"/>
  <c r="O37" i="2"/>
  <c r="P37" i="2"/>
  <c r="H37" i="2"/>
  <c r="O34" i="2"/>
  <c r="O35" i="2"/>
  <c r="O52" i="1"/>
  <c r="P52" i="1"/>
  <c r="O27" i="1"/>
  <c r="P27" i="1"/>
  <c r="P29" i="1" s="1"/>
  <c r="P30" i="1" s="1"/>
  <c r="N27" i="1"/>
  <c r="L25" i="1"/>
  <c r="G30" i="1"/>
  <c r="G31" i="1" s="1"/>
  <c r="C16" i="1"/>
  <c r="G34" i="1" l="1"/>
  <c r="G39" i="1" s="1"/>
  <c r="G35" i="1"/>
  <c r="E35" i="1"/>
  <c r="E34" i="1"/>
  <c r="K35" i="1"/>
  <c r="K34" i="1"/>
  <c r="M58" i="1"/>
  <c r="S58" i="1" s="1"/>
  <c r="T58" i="1" s="1"/>
  <c r="O55" i="1"/>
  <c r="G40" i="1"/>
  <c r="C17" i="1"/>
  <c r="O29" i="1"/>
  <c r="O30" i="1" s="1"/>
  <c r="O57" i="1"/>
  <c r="O54" i="1"/>
  <c r="O56" i="1"/>
  <c r="L30" i="1"/>
  <c r="L31" i="1" s="1"/>
  <c r="E37" i="1"/>
  <c r="Z62" i="2"/>
  <c r="O39" i="2"/>
  <c r="U65" i="2"/>
  <c r="W64" i="2"/>
  <c r="L37" i="1"/>
  <c r="K37" i="1"/>
  <c r="N37" i="1"/>
  <c r="M37" i="1"/>
  <c r="M29" i="1"/>
  <c r="AE61" i="2"/>
  <c r="AF60" i="2"/>
  <c r="AG60" i="2" s="1"/>
  <c r="AF61" i="2" s="1"/>
  <c r="F61" i="2"/>
  <c r="K34" i="2"/>
  <c r="K39" i="2" s="1"/>
  <c r="H40" i="2"/>
  <c r="O40" i="2"/>
  <c r="P39" i="2"/>
  <c r="G39" i="2"/>
  <c r="H39" i="2"/>
  <c r="G40" i="2"/>
  <c r="P40" i="2"/>
  <c r="S53" i="1"/>
  <c r="T53" i="1" s="1"/>
  <c r="S54" i="1"/>
  <c r="T54" i="1" s="1"/>
  <c r="N29" i="1"/>
  <c r="N25" i="1"/>
  <c r="N52" i="1" s="1"/>
  <c r="N53" i="1" s="1"/>
  <c r="O58" i="1" l="1"/>
  <c r="L35" i="1"/>
  <c r="L34" i="1"/>
  <c r="M59" i="1"/>
  <c r="S59" i="1" s="1"/>
  <c r="T59" i="1" s="1"/>
  <c r="K39" i="1"/>
  <c r="L40" i="1"/>
  <c r="L39" i="1"/>
  <c r="N51" i="1"/>
  <c r="N54" i="1"/>
  <c r="P53" i="1"/>
  <c r="K40" i="1"/>
  <c r="V63" i="2"/>
  <c r="P25" i="1"/>
  <c r="E39" i="1"/>
  <c r="E40" i="1"/>
  <c r="P31" i="1"/>
  <c r="W65" i="2"/>
  <c r="U66" i="2"/>
  <c r="AB60" i="2"/>
  <c r="AC60" i="2" s="1"/>
  <c r="M60" i="2" s="1"/>
  <c r="O31" i="1"/>
  <c r="AB61" i="2"/>
  <c r="AC61" i="2" s="1"/>
  <c r="M61" i="2" s="1"/>
  <c r="AG61" i="2"/>
  <c r="G61" i="2"/>
  <c r="C62" i="2" s="1"/>
  <c r="AA62" i="2"/>
  <c r="Z63" i="2"/>
  <c r="AA63" i="2" s="1"/>
  <c r="T58" i="2"/>
  <c r="P35" i="1" l="1"/>
  <c r="P34" i="1"/>
  <c r="P39" i="1" s="1"/>
  <c r="O34" i="1"/>
  <c r="O39" i="1" s="1"/>
  <c r="O35" i="1"/>
  <c r="M60" i="1"/>
  <c r="S60" i="1" s="1"/>
  <c r="T60" i="1" s="1"/>
  <c r="O59" i="1"/>
  <c r="O40" i="1"/>
  <c r="P40" i="1"/>
  <c r="V65" i="2"/>
  <c r="V64" i="2"/>
  <c r="F62" i="2"/>
  <c r="G62" i="2" s="1"/>
  <c r="U67" i="2"/>
  <c r="W66" i="2"/>
  <c r="O60" i="2"/>
  <c r="AE63" i="2"/>
  <c r="AE62" i="2"/>
  <c r="AF62" i="2"/>
  <c r="S55" i="1"/>
  <c r="T55" i="1" s="1"/>
  <c r="S56" i="1"/>
  <c r="T56" i="1" s="1"/>
  <c r="N55" i="1"/>
  <c r="P54" i="1"/>
  <c r="S57" i="1"/>
  <c r="T57" i="1" s="1"/>
  <c r="M62" i="1" l="1"/>
  <c r="S61" i="1"/>
  <c r="T61" i="1" s="1"/>
  <c r="O60" i="1"/>
  <c r="O62" i="1" s="1"/>
  <c r="O63" i="1" s="1"/>
  <c r="M30" i="1" s="1"/>
  <c r="C63" i="2"/>
  <c r="F63" i="2" s="1"/>
  <c r="W67" i="2"/>
  <c r="W69" i="2" s="1"/>
  <c r="U68" i="2"/>
  <c r="U69" i="2" s="1"/>
  <c r="AB62" i="2"/>
  <c r="AC62" i="2" s="1"/>
  <c r="M62" i="2" s="1"/>
  <c r="AG62" i="2"/>
  <c r="AF63" i="2" s="1"/>
  <c r="Z64" i="2"/>
  <c r="AA64" i="2" s="1"/>
  <c r="K61" i="2"/>
  <c r="N61" i="2" s="1"/>
  <c r="Z65" i="2"/>
  <c r="N56" i="1"/>
  <c r="P55" i="1"/>
  <c r="G63" i="2" l="1"/>
  <c r="C64" i="2" s="1"/>
  <c r="F64" i="2" s="1"/>
  <c r="W70" i="2"/>
  <c r="N30" i="2" s="1"/>
  <c r="N31" i="2" s="1"/>
  <c r="N35" i="2" s="1"/>
  <c r="N40" i="2" s="1"/>
  <c r="AG63" i="2"/>
  <c r="AF64" i="2" s="1"/>
  <c r="AB63" i="2"/>
  <c r="AC63" i="2" s="1"/>
  <c r="M63" i="2" s="1"/>
  <c r="O61" i="2"/>
  <c r="AE64" i="2"/>
  <c r="N57" i="1"/>
  <c r="P56" i="1"/>
  <c r="N34" i="2" l="1"/>
  <c r="N39" i="2" s="1"/>
  <c r="AG64" i="2"/>
  <c r="K62" i="2"/>
  <c r="N62" i="2" s="1"/>
  <c r="AB64" i="2"/>
  <c r="AC64" i="2" s="1"/>
  <c r="M64" i="2" s="1"/>
  <c r="AA65" i="2"/>
  <c r="G64" i="2"/>
  <c r="C65" i="2" s="1"/>
  <c r="F65" i="2" s="1"/>
  <c r="N58" i="1"/>
  <c r="P57" i="1"/>
  <c r="O62" i="2" l="1"/>
  <c r="K63" i="2" s="1"/>
  <c r="N63" i="2" s="1"/>
  <c r="AE65" i="2"/>
  <c r="AF65" i="2"/>
  <c r="G65" i="2"/>
  <c r="C66" i="2" s="1"/>
  <c r="F66" i="2" s="1"/>
  <c r="V66" i="2"/>
  <c r="N59" i="1"/>
  <c r="P58" i="1"/>
  <c r="O63" i="2" l="1"/>
  <c r="K64" i="2" s="1"/>
  <c r="N64" i="2" s="1"/>
  <c r="AB65" i="2"/>
  <c r="AC65" i="2" s="1"/>
  <c r="M65" i="2" s="1"/>
  <c r="AG65" i="2"/>
  <c r="Z66" i="2"/>
  <c r="T67" i="2"/>
  <c r="V67" i="2" s="1"/>
  <c r="G66" i="2"/>
  <c r="N60" i="1"/>
  <c r="N62" i="1" s="1"/>
  <c r="P59" i="1"/>
  <c r="O64" i="2" l="1"/>
  <c r="Z67" i="2"/>
  <c r="T68" i="2"/>
  <c r="Z68" i="2" s="1"/>
  <c r="AA66" i="2"/>
  <c r="C67" i="2"/>
  <c r="F67" i="2" s="1"/>
  <c r="V69" i="2"/>
  <c r="M31" i="1"/>
  <c r="P60" i="1"/>
  <c r="P62" i="1" s="1"/>
  <c r="P63" i="1" s="1"/>
  <c r="N30" i="1" s="1"/>
  <c r="M35" i="1" l="1"/>
  <c r="M40" i="1" s="1"/>
  <c r="M34" i="1"/>
  <c r="M39" i="1" s="1"/>
  <c r="AE66" i="2"/>
  <c r="AF66" i="2"/>
  <c r="K65" i="2"/>
  <c r="N65" i="2" s="1"/>
  <c r="AA67" i="2"/>
  <c r="T69" i="2"/>
  <c r="Z69" i="2" s="1"/>
  <c r="G67" i="2"/>
  <c r="O65" i="2" l="1"/>
  <c r="AG66" i="2"/>
  <c r="AF67" i="2" s="1"/>
  <c r="AB66" i="2"/>
  <c r="AC66" i="2" s="1"/>
  <c r="M66" i="2" s="1"/>
  <c r="V70" i="2"/>
  <c r="M30" i="2" s="1"/>
  <c r="M31" i="2" s="1"/>
  <c r="M35" i="2" s="1"/>
  <c r="M40" i="2" s="1"/>
  <c r="AE67" i="2"/>
  <c r="AA69" i="2"/>
  <c r="AA68" i="2"/>
  <c r="T70" i="2"/>
  <c r="C68" i="2"/>
  <c r="F68" i="2" s="1"/>
  <c r="N31" i="1"/>
  <c r="N34" i="1" l="1"/>
  <c r="N39" i="1" s="1"/>
  <c r="N35" i="1"/>
  <c r="N40" i="1" s="1"/>
  <c r="AG67" i="2"/>
  <c r="AF68" i="2" s="1"/>
  <c r="K66" i="2"/>
  <c r="N66" i="2" s="1"/>
  <c r="G68" i="2"/>
  <c r="C69" i="2" s="1"/>
  <c r="F69" i="2" s="1"/>
  <c r="G69" i="2" s="1"/>
  <c r="C70" i="2" s="1"/>
  <c r="F70" i="2" s="1"/>
  <c r="AE68" i="2"/>
  <c r="M34" i="2"/>
  <c r="M39" i="2" s="1"/>
  <c r="AE69" i="2"/>
  <c r="AB67" i="2"/>
  <c r="AC67" i="2" s="1"/>
  <c r="M67" i="2" s="1"/>
  <c r="Z70" i="2"/>
  <c r="T71" i="2"/>
  <c r="O66" i="2" l="1"/>
  <c r="K67" i="2" s="1"/>
  <c r="N67" i="2" s="1"/>
  <c r="AG68" i="2"/>
  <c r="AF69" i="2" s="1"/>
  <c r="AG69" i="2" s="1"/>
  <c r="AB68" i="2"/>
  <c r="AC68" i="2" s="1"/>
  <c r="M68" i="2" s="1"/>
  <c r="Z71" i="2"/>
  <c r="AA71" i="2" s="1"/>
  <c r="AE71" i="2" s="1"/>
  <c r="G70" i="2"/>
  <c r="AA70" i="2"/>
  <c r="AE70" i="2" s="1"/>
  <c r="T72" i="2"/>
  <c r="O67" i="2" l="1"/>
  <c r="K68" i="2" s="1"/>
  <c r="N68" i="2" s="1"/>
  <c r="AB69" i="2"/>
  <c r="AC69" i="2" s="1"/>
  <c r="M69" i="2" s="1"/>
  <c r="AF70" i="2"/>
  <c r="Z72" i="2"/>
  <c r="AA72" i="2" s="1"/>
  <c r="AE72" i="2" s="1"/>
  <c r="T73" i="2"/>
  <c r="C71" i="2"/>
  <c r="F71" i="2" s="1"/>
  <c r="Z73" i="2" l="1"/>
  <c r="AA73" i="2" s="1"/>
  <c r="AE73" i="2" s="1"/>
  <c r="O68" i="2"/>
  <c r="K69" i="2" s="1"/>
  <c r="N69" i="2" s="1"/>
  <c r="AB70" i="2"/>
  <c r="AC70" i="2" s="1"/>
  <c r="M70" i="2" s="1"/>
  <c r="AG70" i="2"/>
  <c r="AF71" i="2" s="1"/>
  <c r="AB71" i="2" s="1"/>
  <c r="AC71" i="2" s="1"/>
  <c r="M71" i="2" s="1"/>
  <c r="T74" i="2"/>
  <c r="G71" i="2"/>
  <c r="C72" i="2" s="1"/>
  <c r="Z74" i="2" l="1"/>
  <c r="AA74" i="2" s="1"/>
  <c r="AE74" i="2" s="1"/>
  <c r="O69" i="2"/>
  <c r="K70" i="2" s="1"/>
  <c r="N70" i="2" s="1"/>
  <c r="F72" i="2"/>
  <c r="G72" i="2" s="1"/>
  <c r="C73" i="2" s="1"/>
  <c r="AG71" i="2"/>
  <c r="AF72" i="2" s="1"/>
  <c r="T75" i="2"/>
  <c r="Z75" i="2" l="1"/>
  <c r="AA75" i="2" s="1"/>
  <c r="AE75" i="2" s="1"/>
  <c r="O70" i="2"/>
  <c r="F73" i="2"/>
  <c r="G73" i="2" s="1"/>
  <c r="C74" i="2" s="1"/>
  <c r="AB72" i="2"/>
  <c r="AC72" i="2" s="1"/>
  <c r="M72" i="2" s="1"/>
  <c r="AG72" i="2"/>
  <c r="T76" i="2"/>
  <c r="Z76" i="2" l="1"/>
  <c r="AA76" i="2" s="1"/>
  <c r="AE76" i="2" s="1"/>
  <c r="F74" i="2"/>
  <c r="G74" i="2" s="1"/>
  <c r="C75" i="2" s="1"/>
  <c r="AF73" i="2"/>
  <c r="AB73" i="2" s="1"/>
  <c r="AC73" i="2" s="1"/>
  <c r="M73" i="2" s="1"/>
  <c r="T77" i="2"/>
  <c r="Z77" i="2" l="1"/>
  <c r="AA77" i="2" s="1"/>
  <c r="AE77" i="2" s="1"/>
  <c r="F75" i="2"/>
  <c r="G75" i="2" s="1"/>
  <c r="AG73" i="2"/>
  <c r="AF74" i="2" s="1"/>
  <c r="T78" i="2"/>
  <c r="K71" i="2"/>
  <c r="N71" i="2" s="1"/>
  <c r="Z78" i="2" l="1"/>
  <c r="AA78" i="2" s="1"/>
  <c r="AE78" i="2" s="1"/>
  <c r="C76" i="2"/>
  <c r="F76" i="2" s="1"/>
  <c r="AG74" i="2"/>
  <c r="AF75" i="2" s="1"/>
  <c r="AB74" i="2"/>
  <c r="AC74" i="2" s="1"/>
  <c r="M74" i="2" s="1"/>
  <c r="T79" i="2"/>
  <c r="O71" i="2"/>
  <c r="T80" i="2" l="1"/>
  <c r="Z80" i="2" s="1"/>
  <c r="AA80" i="2" s="1"/>
  <c r="Z79" i="2"/>
  <c r="AA79" i="2" s="1"/>
  <c r="AE79" i="2" s="1"/>
  <c r="G76" i="2"/>
  <c r="AG75" i="2"/>
  <c r="AF76" i="2" s="1"/>
  <c r="AB75" i="2"/>
  <c r="AC75" i="2" s="1"/>
  <c r="M75" i="2" s="1"/>
  <c r="K72" i="2"/>
  <c r="N72" i="2" s="1"/>
  <c r="AE80" i="2" l="1"/>
  <c r="T81" i="2"/>
  <c r="Z81" i="2" s="1"/>
  <c r="AA81" i="2" s="1"/>
  <c r="C77" i="2"/>
  <c r="F77" i="2" s="1"/>
  <c r="AB76" i="2"/>
  <c r="AC76" i="2" s="1"/>
  <c r="M76" i="2" s="1"/>
  <c r="AG76" i="2"/>
  <c r="AF77" i="2" s="1"/>
  <c r="O72" i="2"/>
  <c r="T82" i="2" l="1"/>
  <c r="Z82" i="2" s="1"/>
  <c r="AA82" i="2" s="1"/>
  <c r="AE81" i="2"/>
  <c r="G77" i="2"/>
  <c r="AB77" i="2"/>
  <c r="AC77" i="2" s="1"/>
  <c r="M77" i="2" s="1"/>
  <c r="AG77" i="2"/>
  <c r="AF78" i="2" s="1"/>
  <c r="K73" i="2"/>
  <c r="N73" i="2" s="1"/>
  <c r="AE82" i="2" l="1"/>
  <c r="T83" i="2"/>
  <c r="Z83" i="2" s="1"/>
  <c r="AA83" i="2" s="1"/>
  <c r="C78" i="2"/>
  <c r="F78" i="2" s="1"/>
  <c r="AB78" i="2"/>
  <c r="AC78" i="2" s="1"/>
  <c r="M78" i="2" s="1"/>
  <c r="AG78" i="2"/>
  <c r="O73" i="2"/>
  <c r="AE83" i="2" l="1"/>
  <c r="T84" i="2"/>
  <c r="T85" i="2" s="1"/>
  <c r="G78" i="2"/>
  <c r="AF79" i="2"/>
  <c r="AB79" i="2" s="1"/>
  <c r="AC79" i="2" s="1"/>
  <c r="M79" i="2" s="1"/>
  <c r="K74" i="2"/>
  <c r="N74" i="2" s="1"/>
  <c r="Z84" i="2" l="1"/>
  <c r="AA84" i="2" s="1"/>
  <c r="AE84" i="2" s="1"/>
  <c r="C79" i="2"/>
  <c r="F79" i="2" s="1"/>
  <c r="AG79" i="2"/>
  <c r="AF80" i="2" s="1"/>
  <c r="O74" i="2"/>
  <c r="AG80" i="2" l="1"/>
  <c r="AF81" i="2" s="1"/>
  <c r="AB80" i="2"/>
  <c r="AC80" i="2" s="1"/>
  <c r="M80" i="2" s="1"/>
  <c r="G79" i="2"/>
  <c r="K75" i="2"/>
  <c r="N75" i="2" s="1"/>
  <c r="C80" i="2" l="1"/>
  <c r="F80" i="2" s="1"/>
  <c r="AB81" i="2"/>
  <c r="AC81" i="2" s="1"/>
  <c r="M81" i="2" s="1"/>
  <c r="AG81" i="2"/>
  <c r="AF82" i="2" s="1"/>
  <c r="O75" i="2"/>
  <c r="AB82" i="2" l="1"/>
  <c r="AC82" i="2" s="1"/>
  <c r="M82" i="2" s="1"/>
  <c r="AG82" i="2"/>
  <c r="AF83" i="2" s="1"/>
  <c r="G80" i="2"/>
  <c r="K76" i="2"/>
  <c r="N76" i="2" s="1"/>
  <c r="C81" i="2" l="1"/>
  <c r="F81" i="2" s="1"/>
  <c r="AB83" i="2"/>
  <c r="AC83" i="2" s="1"/>
  <c r="M83" i="2" s="1"/>
  <c r="AG83" i="2"/>
  <c r="AF84" i="2" s="1"/>
  <c r="O76" i="2"/>
  <c r="AB84" i="2" l="1"/>
  <c r="AC84" i="2" s="1"/>
  <c r="M84" i="2" s="1"/>
  <c r="AG84" i="2"/>
  <c r="G81" i="2"/>
  <c r="K77" i="2"/>
  <c r="N77" i="2" s="1"/>
  <c r="C82" i="2" l="1"/>
  <c r="F82" i="2" s="1"/>
  <c r="O77" i="2"/>
  <c r="G82" i="2" l="1"/>
  <c r="C83" i="2" s="1"/>
  <c r="F83" i="2" s="1"/>
  <c r="K78" i="2"/>
  <c r="N78" i="2" s="1"/>
  <c r="O78" i="2" l="1"/>
  <c r="K79" i="2" s="1"/>
  <c r="G83" i="2"/>
  <c r="C84" i="2" l="1"/>
  <c r="F84" i="2" s="1"/>
  <c r="N79" i="2"/>
  <c r="G84" i="2" l="1"/>
  <c r="O79" i="2"/>
  <c r="K80" i="2" l="1"/>
  <c r="N80" i="2" s="1"/>
  <c r="O80" i="2" l="1"/>
  <c r="K81" i="2" l="1"/>
  <c r="N81" i="2" s="1"/>
  <c r="O81" i="2" l="1"/>
  <c r="K82" i="2" l="1"/>
  <c r="N82" i="2" s="1"/>
  <c r="O82" i="2" l="1"/>
  <c r="K83" i="2" l="1"/>
  <c r="N83" i="2" s="1"/>
  <c r="O83" i="2" l="1"/>
  <c r="K84" i="2" l="1"/>
  <c r="N84" i="2" s="1"/>
  <c r="O84" i="2" l="1"/>
</calcChain>
</file>

<file path=xl/sharedStrings.xml><?xml version="1.0" encoding="utf-8"?>
<sst xmlns="http://schemas.openxmlformats.org/spreadsheetml/2006/main" count="246" uniqueCount="120">
  <si>
    <t>REGNEEKSEMPLER - VINDMØLLEANDELE LAUG</t>
  </si>
  <si>
    <t>Investering</t>
  </si>
  <si>
    <t>26 møller</t>
  </si>
  <si>
    <t>Kostpris (6 møller ud af 26)</t>
  </si>
  <si>
    <t>kr.</t>
  </si>
  <si>
    <t>Andele</t>
  </si>
  <si>
    <t>Pris pr. andel</t>
  </si>
  <si>
    <t>Finansiering køb</t>
  </si>
  <si>
    <t>pris pr. kWh</t>
  </si>
  <si>
    <t>øre/kWh år 1</t>
  </si>
  <si>
    <t>BUDGETVÆRDIER</t>
  </si>
  <si>
    <t>År 1 (2021)</t>
  </si>
  <si>
    <t>År 8 (2028)</t>
  </si>
  <si>
    <t>År 1-25</t>
  </si>
  <si>
    <t>0 - 16 andele</t>
  </si>
  <si>
    <t>skematisk model 0 skat</t>
  </si>
  <si>
    <t>Omsætning</t>
  </si>
  <si>
    <t>16 - 52 andele samme marginalskat over 25 år (uden salg)</t>
  </si>
  <si>
    <t>Driftsomkostninger</t>
  </si>
  <si>
    <t>over 52 andel lavest marginale skat ved regnskabsmæssig model</t>
  </si>
  <si>
    <t>EBITDA</t>
  </si>
  <si>
    <t>Cashflow afkast</t>
  </si>
  <si>
    <t>Afskrivninger (25 år)</t>
  </si>
  <si>
    <t>EBIT</t>
  </si>
  <si>
    <t>Intern rente (EBIT/INV)</t>
  </si>
  <si>
    <t>---------------------------------------------------------------------------------------ooooo0ooooo-----------------------------------------------------------------------------------------------------------------------------------</t>
  </si>
  <si>
    <t>Skematisk model</t>
  </si>
  <si>
    <t>Regnskabsmæssig model</t>
  </si>
  <si>
    <t>År 0-25 akk.</t>
  </si>
  <si>
    <t>Antal Andele</t>
  </si>
  <si>
    <t>Omsætning (prorata)</t>
  </si>
  <si>
    <t>Bundfradrag (**)</t>
  </si>
  <si>
    <t>Rest</t>
  </si>
  <si>
    <t>40% fradrag</t>
  </si>
  <si>
    <t>Skattemæssige afskrivninger</t>
  </si>
  <si>
    <t>Skattepligtig Indkomst</t>
  </si>
  <si>
    <t>Rente ???</t>
  </si>
  <si>
    <t>Skat heraf:</t>
  </si>
  <si>
    <t>"Bundskat" af PI u/ AMB</t>
  </si>
  <si>
    <t>ved marginalskat på 37,8% (*) Personlig indkomst</t>
  </si>
  <si>
    <t>ved marginalskat på 25,6% (*) Kapitalindkomst</t>
  </si>
  <si>
    <t>"Bundskat" af KI</t>
  </si>
  <si>
    <t>"Topskat" af PI u/ AMB</t>
  </si>
  <si>
    <t>ved marginalskat på 52,7% (*)</t>
  </si>
  <si>
    <t>ved marginalskat på 42,7% (*)</t>
  </si>
  <si>
    <t>"Topskat" af KI</t>
  </si>
  <si>
    <t>Indtjening (EBIT pr. ejede andele)</t>
  </si>
  <si>
    <t>Effektiv skatteprocent (v/37,8%)</t>
  </si>
  <si>
    <t>Effektiv skatteprocent (v/25,6%)</t>
  </si>
  <si>
    <t>Effektiv skatteprocent (v/52,7%)</t>
  </si>
  <si>
    <t>Effektiv skatteprocent (v/42,7%)</t>
  </si>
  <si>
    <t>Salg</t>
  </si>
  <si>
    <t>Skattefrit salg / ej fradrag tab</t>
  </si>
  <si>
    <t>Skattepligtigt salg / fradrag tab i indkomst fra drift</t>
  </si>
  <si>
    <t>Ægtefæller</t>
  </si>
  <si>
    <t>Ægtefæller uafhængigt af hinanden</t>
  </si>
  <si>
    <t>Renter</t>
  </si>
  <si>
    <t>Fradrag for renteomkostninger som kapitalindkomst</t>
  </si>
  <si>
    <t>Beskatning</t>
  </si>
  <si>
    <t>Indkomst beskattes som Personlig indkomst u/AM</t>
  </si>
  <si>
    <t>Overskud beskattes som kapitalindkomst (hvis flere end 10 ejere der anvender regnskabsmæssig metode)</t>
  </si>
  <si>
    <t>Underskud ej med i indkomst</t>
  </si>
  <si>
    <t>Underskud overføres til år med overskud (hvis flere end 10 ejere der anvender regnskabsmæssig metode)</t>
  </si>
  <si>
    <t>Overgangsordning</t>
  </si>
  <si>
    <t>Kan ej gå fra skematisk til regnskabsmæssig model</t>
  </si>
  <si>
    <t>Kan afstå samt overgå til skematisk ordning</t>
  </si>
  <si>
    <t>Indkomst</t>
  </si>
  <si>
    <t>år 0</t>
  </si>
  <si>
    <t>omsætning</t>
  </si>
  <si>
    <t>driftsomk</t>
  </si>
  <si>
    <t>år 1</t>
  </si>
  <si>
    <t>år 2</t>
  </si>
  <si>
    <t>år 3</t>
  </si>
  <si>
    <t>år 4</t>
  </si>
  <si>
    <t>år 5</t>
  </si>
  <si>
    <t>år 6</t>
  </si>
  <si>
    <t>år 7</t>
  </si>
  <si>
    <t>år 8</t>
  </si>
  <si>
    <t>år 9</t>
  </si>
  <si>
    <t>år 10</t>
  </si>
  <si>
    <t>år 11</t>
  </si>
  <si>
    <t>år 12</t>
  </si>
  <si>
    <t>år 13</t>
  </si>
  <si>
    <t>år 14</t>
  </si>
  <si>
    <t>år 15</t>
  </si>
  <si>
    <t>år 16</t>
  </si>
  <si>
    <t>år 17</t>
  </si>
  <si>
    <t>år 18</t>
  </si>
  <si>
    <t>år 19</t>
  </si>
  <si>
    <t>år 20</t>
  </si>
  <si>
    <t>år 21</t>
  </si>
  <si>
    <t>år 22</t>
  </si>
  <si>
    <t>år 23</t>
  </si>
  <si>
    <t>år 24</t>
  </si>
  <si>
    <t>år 25</t>
  </si>
  <si>
    <t>REGNEEKSEMPLER - VINDMØLLEANDELE</t>
  </si>
  <si>
    <t>Kostpris</t>
  </si>
  <si>
    <t>År 1</t>
  </si>
  <si>
    <t>År 9</t>
  </si>
  <si>
    <t>Bundfradrag</t>
  </si>
  <si>
    <t>Fortjeneste (EBIT pr. andel)</t>
  </si>
  <si>
    <t>Effektiv skatteprocent (v/37,5%)</t>
  </si>
  <si>
    <t>Effektiv skatteprocent (v/42%)</t>
  </si>
  <si>
    <t>Indkomst beskattes som kapitalindkomst</t>
  </si>
  <si>
    <t>SKEMATISK MODEL</t>
  </si>
  <si>
    <t>REGNSKABSMÆSSIG MODEL</t>
  </si>
  <si>
    <t>Udbetaling</t>
  </si>
  <si>
    <t>Anparter</t>
  </si>
  <si>
    <t>Rente</t>
  </si>
  <si>
    <t>TIL LIKVIDITETSBEREGNING</t>
  </si>
  <si>
    <t>Likviditet</t>
  </si>
  <si>
    <t>Udlodning</t>
  </si>
  <si>
    <t>Skat mølle</t>
  </si>
  <si>
    <t>Skat rente</t>
  </si>
  <si>
    <t>Akk. Saldo</t>
  </si>
  <si>
    <t>Underskud</t>
  </si>
  <si>
    <t>Anvendt</t>
  </si>
  <si>
    <t>saldo</t>
  </si>
  <si>
    <t>SM afsk</t>
  </si>
  <si>
    <t>INDKOMST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</si>
</sst>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* #,##0_ ;_ * \-#,##0_ ;_ * &quot;-&quot;??_ ;_ @_ "/>
    <numFmt numFmtId="165" formatCode="0.0%"/>
    <numFmt numFmtId="166" formatCode="0.000"/>
  </numFmts>
  <fonts count="14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0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10"/>
      <name val="Trebuchet MS"/>
      <family val="2"/>
    </font>
    <font>
      <sz val="9"/>
      <color theme="0"/>
      <name val="Trebuchet MS"/>
      <family val="2"/>
    </font>
    <font>
      <b/>
      <sz val="10"/>
      <name val="Trebuchet MS"/>
      <family val="2"/>
    </font>
    <font>
      <i/>
      <sz val="10"/>
      <name val="Trebuchet MS"/>
      <family val="2"/>
    </font>
    <font>
      <sz val="10"/>
      <color rgb="FFFF0000"/>
      <name val="Trebuchet MS"/>
      <family val="2"/>
    </font>
    <font>
      <sz val="8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4" fillId="0" borderId="0" xfId="0" applyFont="1"/>
    <xf numFmtId="164" fontId="4" fillId="0" borderId="0" xfId="1" applyNumberFormat="1" applyFont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4" fillId="0" borderId="5" xfId="1" applyNumberFormat="1" applyFont="1" applyBorder="1"/>
    <xf numFmtId="165" fontId="4" fillId="0" borderId="4" xfId="2" applyNumberFormat="1" applyFont="1" applyBorder="1"/>
    <xf numFmtId="0" fontId="4" fillId="0" borderId="4" xfId="0" applyFont="1" applyBorder="1"/>
    <xf numFmtId="164" fontId="4" fillId="0" borderId="0" xfId="0" applyNumberFormat="1" applyFont="1" applyBorder="1"/>
    <xf numFmtId="0" fontId="4" fillId="0" borderId="0" xfId="0" applyFont="1" applyAlignment="1">
      <alignment horizontal="right"/>
    </xf>
    <xf numFmtId="0" fontId="4" fillId="0" borderId="0" xfId="0" quotePrefix="1" applyFont="1"/>
    <xf numFmtId="165" fontId="4" fillId="2" borderId="4" xfId="2" applyNumberFormat="1" applyFont="1" applyFill="1" applyBorder="1"/>
    <xf numFmtId="164" fontId="8" fillId="0" borderId="0" xfId="1" applyNumberFormat="1" applyFont="1"/>
    <xf numFmtId="0" fontId="8" fillId="0" borderId="0" xfId="0" applyFont="1"/>
    <xf numFmtId="164" fontId="5" fillId="0" borderId="0" xfId="1" applyNumberFormat="1" applyFont="1"/>
    <xf numFmtId="0" fontId="5" fillId="0" borderId="0" xfId="0" applyFont="1"/>
    <xf numFmtId="164" fontId="9" fillId="0" borderId="0" xfId="1" applyNumberFormat="1" applyFont="1"/>
    <xf numFmtId="165" fontId="7" fillId="0" borderId="0" xfId="2" applyNumberFormat="1" applyFont="1"/>
    <xf numFmtId="164" fontId="10" fillId="0" borderId="0" xfId="1" applyNumberFormat="1" applyFont="1"/>
    <xf numFmtId="164" fontId="11" fillId="0" borderId="0" xfId="1" applyNumberFormat="1" applyFont="1"/>
    <xf numFmtId="164" fontId="4" fillId="0" borderId="0" xfId="0" applyNumberFormat="1" applyFont="1"/>
    <xf numFmtId="164" fontId="8" fillId="0" borderId="0" xfId="1" applyNumberFormat="1" applyFont="1" applyAlignment="1">
      <alignment horizontal="right"/>
    </xf>
    <xf numFmtId="0" fontId="6" fillId="0" borderId="0" xfId="0" applyFont="1"/>
    <xf numFmtId="164" fontId="4" fillId="0" borderId="0" xfId="1" applyNumberFormat="1" applyFont="1" applyAlignment="1">
      <alignment horizontal="right"/>
    </xf>
    <xf numFmtId="164" fontId="12" fillId="2" borderId="0" xfId="1" applyNumberFormat="1" applyFont="1" applyFill="1"/>
    <xf numFmtId="164" fontId="8" fillId="0" borderId="0" xfId="1" applyNumberFormat="1" applyFont="1" applyFill="1"/>
    <xf numFmtId="9" fontId="12" fillId="2" borderId="0" xfId="2" applyFont="1" applyFill="1"/>
    <xf numFmtId="0" fontId="10" fillId="0" borderId="0" xfId="0" applyFont="1"/>
    <xf numFmtId="9" fontId="8" fillId="0" borderId="0" xfId="2" applyFont="1" applyFill="1"/>
    <xf numFmtId="9" fontId="8" fillId="0" borderId="0" xfId="2" applyFont="1"/>
    <xf numFmtId="164" fontId="12" fillId="0" borderId="0" xfId="1" applyNumberFormat="1" applyFont="1" applyBorder="1"/>
    <xf numFmtId="165" fontId="12" fillId="2" borderId="0" xfId="2" applyNumberFormat="1" applyFont="1" applyFill="1"/>
    <xf numFmtId="165" fontId="8" fillId="0" borderId="0" xfId="2" applyNumberFormat="1" applyFont="1" applyFill="1"/>
    <xf numFmtId="165" fontId="12" fillId="0" borderId="0" xfId="2" applyNumberFormat="1" applyFont="1" applyFill="1"/>
    <xf numFmtId="164" fontId="12" fillId="0" borderId="5" xfId="1" applyNumberFormat="1" applyFont="1" applyBorder="1" applyAlignment="1"/>
    <xf numFmtId="164" fontId="12" fillId="0" borderId="13" xfId="1" applyNumberFormat="1" applyFont="1" applyBorder="1" applyAlignment="1"/>
    <xf numFmtId="164" fontId="4" fillId="0" borderId="13" xfId="1" applyNumberFormat="1" applyFont="1" applyBorder="1"/>
    <xf numFmtId="164" fontId="12" fillId="0" borderId="16" xfId="1" applyNumberFormat="1" applyFont="1" applyBorder="1" applyAlignment="1"/>
    <xf numFmtId="164" fontId="4" fillId="0" borderId="16" xfId="1" applyNumberFormat="1" applyFont="1" applyBorder="1"/>
    <xf numFmtId="164" fontId="12" fillId="0" borderId="13" xfId="1" applyNumberFormat="1" applyFont="1" applyBorder="1"/>
    <xf numFmtId="164" fontId="4" fillId="0" borderId="13" xfId="0" applyNumberFormat="1" applyFont="1" applyBorder="1"/>
    <xf numFmtId="164" fontId="12" fillId="0" borderId="18" xfId="1" applyNumberFormat="1" applyFont="1" applyBorder="1"/>
    <xf numFmtId="164" fontId="12" fillId="0" borderId="19" xfId="1" applyNumberFormat="1" applyFont="1" applyBorder="1"/>
    <xf numFmtId="0" fontId="1" fillId="0" borderId="4" xfId="0" applyFont="1" applyBorder="1"/>
    <xf numFmtId="164" fontId="13" fillId="0" borderId="0" xfId="1" applyNumberFormat="1" applyFo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/>
    <xf numFmtId="164" fontId="1" fillId="0" borderId="0" xfId="1" applyNumberFormat="1" applyFont="1"/>
    <xf numFmtId="3" fontId="1" fillId="0" borderId="0" xfId="0" applyNumberFormat="1" applyFont="1"/>
    <xf numFmtId="165" fontId="1" fillId="0" borderId="0" xfId="0" applyNumberFormat="1" applyFont="1"/>
    <xf numFmtId="3" fontId="1" fillId="0" borderId="0" xfId="1" applyNumberFormat="1" applyFont="1"/>
    <xf numFmtId="166" fontId="1" fillId="0" borderId="0" xfId="0" applyNumberFormat="1" applyFont="1"/>
    <xf numFmtId="164" fontId="1" fillId="0" borderId="0" xfId="1" applyNumberFormat="1" applyFont="1" applyBorder="1" applyAlignment="1">
      <alignment horizontal="center"/>
    </xf>
    <xf numFmtId="0" fontId="1" fillId="0" borderId="0" xfId="0" quotePrefix="1" applyFont="1"/>
    <xf numFmtId="0" fontId="1" fillId="0" borderId="0" xfId="0" applyFont="1" applyBorder="1" applyAlignment="1">
      <alignment horizontal="center"/>
    </xf>
    <xf numFmtId="9" fontId="1" fillId="3" borderId="0" xfId="2" applyFont="1" applyFill="1" applyAlignment="1">
      <alignment horizontal="left"/>
    </xf>
    <xf numFmtId="9" fontId="1" fillId="0" borderId="0" xfId="2" applyFont="1"/>
    <xf numFmtId="0" fontId="1" fillId="0" borderId="1" xfId="0" applyFont="1" applyBorder="1"/>
    <xf numFmtId="164" fontId="1" fillId="0" borderId="1" xfId="1" applyNumberFormat="1" applyFont="1" applyBorder="1"/>
    <xf numFmtId="164" fontId="1" fillId="0" borderId="4" xfId="1" applyNumberFormat="1" applyFont="1" applyBorder="1"/>
    <xf numFmtId="164" fontId="1" fillId="0" borderId="13" xfId="1" applyNumberFormat="1" applyFont="1" applyBorder="1"/>
    <xf numFmtId="164" fontId="1" fillId="0" borderId="16" xfId="1" applyNumberFormat="1" applyFont="1" applyBorder="1"/>
    <xf numFmtId="164" fontId="1" fillId="0" borderId="5" xfId="1" applyNumberFormat="1" applyFont="1" applyBorder="1"/>
    <xf numFmtId="164" fontId="1" fillId="0" borderId="0" xfId="1" applyNumberFormat="1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5" xfId="0" applyFont="1" applyBorder="1"/>
    <xf numFmtId="165" fontId="1" fillId="0" borderId="13" xfId="2" applyNumberFormat="1" applyFont="1" applyBorder="1"/>
    <xf numFmtId="165" fontId="1" fillId="0" borderId="16" xfId="2" applyNumberFormat="1" applyFont="1" applyBorder="1"/>
    <xf numFmtId="165" fontId="1" fillId="2" borderId="16" xfId="2" applyNumberFormat="1" applyFont="1" applyFill="1" applyBorder="1"/>
    <xf numFmtId="165" fontId="1" fillId="2" borderId="5" xfId="2" applyNumberFormat="1" applyFont="1" applyFill="1" applyBorder="1"/>
    <xf numFmtId="165" fontId="1" fillId="0" borderId="0" xfId="2" applyNumberFormat="1" applyFont="1" applyBorder="1"/>
    <xf numFmtId="0" fontId="1" fillId="0" borderId="6" xfId="0" applyFont="1" applyBorder="1"/>
    <xf numFmtId="164" fontId="1" fillId="0" borderId="14" xfId="1" applyNumberFormat="1" applyFont="1" applyBorder="1"/>
    <xf numFmtId="164" fontId="1" fillId="0" borderId="17" xfId="1" applyNumberFormat="1" applyFont="1" applyBorder="1"/>
    <xf numFmtId="0" fontId="1" fillId="0" borderId="14" xfId="0" applyFont="1" applyBorder="1"/>
    <xf numFmtId="164" fontId="1" fillId="0" borderId="8" xfId="1" applyNumberFormat="1" applyFont="1" applyBorder="1"/>
    <xf numFmtId="164" fontId="1" fillId="0" borderId="7" xfId="1" applyNumberFormat="1" applyFont="1" applyBorder="1"/>
    <xf numFmtId="0" fontId="1" fillId="0" borderId="8" xfId="0" applyFont="1" applyBorder="1"/>
    <xf numFmtId="164" fontId="1" fillId="0" borderId="0" xfId="0" applyNumberFormat="1" applyFont="1"/>
    <xf numFmtId="0" fontId="1" fillId="0" borderId="0" xfId="0" applyFont="1" applyBorder="1"/>
    <xf numFmtId="165" fontId="1" fillId="2" borderId="0" xfId="2" applyNumberFormat="1" applyFont="1" applyFill="1" applyBorder="1"/>
    <xf numFmtId="165" fontId="1" fillId="0" borderId="5" xfId="2" applyNumberFormat="1" applyFont="1" applyFill="1" applyBorder="1"/>
    <xf numFmtId="165" fontId="1" fillId="0" borderId="5" xfId="2" applyNumberFormat="1" applyFont="1" applyBorder="1"/>
    <xf numFmtId="0" fontId="1" fillId="0" borderId="7" xfId="0" applyFont="1" applyBorder="1"/>
    <xf numFmtId="164" fontId="1" fillId="0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V82"/>
  <sheetViews>
    <sheetView tabSelected="1" view="pageBreakPreview" zoomScale="80" zoomScaleNormal="80" zoomScaleSheetLayoutView="80" workbookViewId="0">
      <selection activeCell="H14" sqref="H14"/>
    </sheetView>
  </sheetViews>
  <sheetFormatPr defaultColWidth="9.140625" defaultRowHeight="14.45"/>
  <cols>
    <col min="1" max="1" width="25.5703125" style="1" customWidth="1"/>
    <col min="2" max="2" width="47.28515625" style="1" bestFit="1" customWidth="1"/>
    <col min="3" max="3" width="12.85546875" style="1" customWidth="1"/>
    <col min="4" max="4" width="15.28515625" style="1" bestFit="1" customWidth="1"/>
    <col min="5" max="5" width="10.7109375" style="1" customWidth="1"/>
    <col min="6" max="6" width="15.85546875" style="1" customWidth="1"/>
    <col min="7" max="7" width="11.28515625" style="1" customWidth="1"/>
    <col min="8" max="8" width="12.28515625" style="1" customWidth="1"/>
    <col min="9" max="9" width="5.140625" style="1" customWidth="1"/>
    <col min="10" max="10" width="47.140625" style="1" customWidth="1"/>
    <col min="11" max="11" width="12.28515625" style="1" bestFit="1" customWidth="1"/>
    <col min="12" max="12" width="11.5703125" style="1" bestFit="1" customWidth="1"/>
    <col min="13" max="13" width="10.140625" style="1" customWidth="1"/>
    <col min="14" max="14" width="11.140625" style="1" customWidth="1"/>
    <col min="15" max="16" width="14" style="1" bestFit="1" customWidth="1"/>
    <col min="17" max="17" width="9.140625" style="1"/>
    <col min="18" max="18" width="12.28515625" style="1" bestFit="1" customWidth="1"/>
    <col min="19" max="19" width="10.5703125" style="1" bestFit="1" customWidth="1"/>
    <col min="20" max="20" width="12.28515625" style="1" bestFit="1" customWidth="1"/>
    <col min="21" max="16384" width="9.140625" style="1"/>
  </cols>
  <sheetData>
    <row r="1" spans="1:22">
      <c r="A1" s="2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>
      <c r="A3" s="2" t="s">
        <v>1</v>
      </c>
      <c r="B3" s="56"/>
      <c r="C3" s="56"/>
      <c r="D3" s="10" t="s">
        <v>2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>
      <c r="A4" s="56" t="s">
        <v>3</v>
      </c>
      <c r="B4" s="57">
        <v>172214630</v>
      </c>
      <c r="C4" s="57" t="s">
        <v>4</v>
      </c>
      <c r="D4" s="58">
        <v>740252986</v>
      </c>
      <c r="E4" s="57"/>
      <c r="F4" s="57"/>
      <c r="G4" s="57">
        <f>D4/D5*B5</f>
        <v>172201616.93739349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>
      <c r="A5" s="56" t="s">
        <v>5</v>
      </c>
      <c r="B5" s="57">
        <v>61970</v>
      </c>
      <c r="C5" s="57" t="s">
        <v>4</v>
      </c>
      <c r="D5" s="58">
        <v>266394</v>
      </c>
      <c r="E5" s="57">
        <f>+D5*0.2+6452</f>
        <v>59730.8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1:22">
      <c r="A6" s="56" t="s">
        <v>6</v>
      </c>
      <c r="B6" s="57">
        <f>+B4/B5</f>
        <v>2779</v>
      </c>
      <c r="C6" s="57" t="s">
        <v>4</v>
      </c>
      <c r="D6" s="57">
        <f>+D4/D5</f>
        <v>2778.7900102855169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2">
      <c r="A7" s="56" t="s">
        <v>7</v>
      </c>
      <c r="B7" s="59">
        <v>4.4999999999999998E-2</v>
      </c>
      <c r="C7" s="57"/>
      <c r="D7" s="60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</row>
    <row r="8" spans="1:22">
      <c r="A8" s="56" t="s">
        <v>8</v>
      </c>
      <c r="B8" s="61">
        <v>21.98</v>
      </c>
      <c r="C8" s="57" t="s">
        <v>9</v>
      </c>
      <c r="D8" s="60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</row>
    <row r="9" spans="1:22">
      <c r="A9" s="56"/>
      <c r="B9" s="56"/>
      <c r="C9" s="57"/>
      <c r="D9" s="56"/>
      <c r="E9" s="56"/>
      <c r="F9" s="56"/>
      <c r="G9" s="56"/>
      <c r="H9" s="56"/>
      <c r="I9" s="56"/>
      <c r="J9" s="62"/>
      <c r="K9" s="56"/>
      <c r="L9" s="56"/>
      <c r="M9" s="56"/>
      <c r="N9" s="56"/>
      <c r="O9" s="56"/>
      <c r="P9" s="57"/>
      <c r="Q9" s="57"/>
      <c r="R9" s="57"/>
      <c r="S9" s="57"/>
      <c r="T9" s="57"/>
      <c r="U9" s="57"/>
      <c r="V9" s="57"/>
    </row>
    <row r="10" spans="1:22">
      <c r="A10" s="2" t="s">
        <v>10</v>
      </c>
      <c r="B10" s="10" t="s">
        <v>11</v>
      </c>
      <c r="C10" s="10" t="s">
        <v>12</v>
      </c>
      <c r="D10" s="10" t="s">
        <v>13</v>
      </c>
      <c r="E10" s="56"/>
      <c r="F10" s="63" t="s">
        <v>14</v>
      </c>
      <c r="G10" s="56" t="s">
        <v>15</v>
      </c>
      <c r="H10" s="56"/>
      <c r="I10" s="56"/>
      <c r="J10" s="64"/>
      <c r="K10" s="56"/>
      <c r="L10" s="56"/>
      <c r="M10" s="56"/>
      <c r="N10" s="56"/>
      <c r="O10" s="56"/>
      <c r="P10" s="57"/>
      <c r="Q10" s="57"/>
      <c r="R10" s="57"/>
      <c r="S10" s="57"/>
      <c r="T10" s="57"/>
      <c r="U10" s="57"/>
      <c r="V10" s="57"/>
    </row>
    <row r="11" spans="1:22">
      <c r="A11" s="56" t="s">
        <v>16</v>
      </c>
      <c r="B11" s="57">
        <v>13624922</v>
      </c>
      <c r="C11" s="57">
        <v>13624922</v>
      </c>
      <c r="D11" s="57">
        <v>334468830</v>
      </c>
      <c r="E11" s="65">
        <v>0</v>
      </c>
      <c r="F11" s="63" t="s">
        <v>17</v>
      </c>
      <c r="G11" s="56"/>
      <c r="H11" s="56"/>
      <c r="I11" s="56"/>
      <c r="J11" s="57"/>
      <c r="K11" s="56"/>
      <c r="L11" s="56"/>
      <c r="M11" s="56"/>
      <c r="N11" s="56"/>
      <c r="O11" s="56"/>
      <c r="P11" s="57"/>
      <c r="Q11" s="57"/>
      <c r="R11" s="57"/>
      <c r="S11" s="57"/>
      <c r="T11" s="57"/>
      <c r="U11" s="57"/>
      <c r="V11" s="57"/>
    </row>
    <row r="12" spans="1:22">
      <c r="A12" s="56" t="s">
        <v>18</v>
      </c>
      <c r="B12" s="57">
        <v>-5533698</v>
      </c>
      <c r="C12" s="57">
        <v>-6069495</v>
      </c>
      <c r="D12" s="57">
        <v>-139586192</v>
      </c>
      <c r="E12" s="45"/>
      <c r="F12" s="57" t="s">
        <v>19</v>
      </c>
      <c r="G12" s="66"/>
      <c r="H12" s="57"/>
      <c r="I12" s="57"/>
      <c r="J12" s="57"/>
      <c r="K12" s="56"/>
      <c r="L12" s="56"/>
      <c r="M12" s="56"/>
      <c r="N12" s="56"/>
      <c r="O12" s="56"/>
      <c r="P12" s="57"/>
      <c r="Q12" s="57"/>
      <c r="R12" s="57"/>
      <c r="S12" s="57"/>
      <c r="T12" s="57"/>
      <c r="U12" s="57"/>
      <c r="V12" s="57"/>
    </row>
    <row r="13" spans="1:22">
      <c r="A13" s="2" t="s">
        <v>20</v>
      </c>
      <c r="B13" s="3">
        <f>SUM(B11:B12)</f>
        <v>8091224</v>
      </c>
      <c r="C13" s="3">
        <f>SUM(C11:C12)</f>
        <v>7555427</v>
      </c>
      <c r="D13" s="3">
        <f>SUM(D11:D12)</f>
        <v>194882638</v>
      </c>
      <c r="E13" s="57"/>
      <c r="F13" s="57"/>
      <c r="G13" s="66"/>
      <c r="H13" s="57"/>
      <c r="I13" s="57"/>
      <c r="J13" s="57"/>
      <c r="K13" s="56"/>
      <c r="L13" s="56"/>
      <c r="M13" s="56"/>
      <c r="N13" s="56"/>
      <c r="O13" s="56"/>
      <c r="P13" s="57"/>
      <c r="Q13" s="57"/>
      <c r="R13" s="57"/>
      <c r="S13" s="57"/>
      <c r="T13" s="57"/>
      <c r="U13" s="57"/>
      <c r="V13" s="57"/>
    </row>
    <row r="14" spans="1:22">
      <c r="A14" s="23" t="s">
        <v>21</v>
      </c>
      <c r="B14" s="18">
        <f>+B13/B4</f>
        <v>4.6983371854063732E-2</v>
      </c>
      <c r="C14" s="18">
        <f>+C13/B4</f>
        <v>4.3872155344757878E-2</v>
      </c>
      <c r="D14" s="18">
        <f>+(D13/25)/B4</f>
        <v>4.5265059768731609E-2</v>
      </c>
      <c r="E14" s="57"/>
      <c r="F14" s="57"/>
      <c r="G14" s="66"/>
      <c r="H14" s="57"/>
      <c r="I14" s="57"/>
      <c r="J14" s="57"/>
      <c r="K14" s="56"/>
      <c r="L14" s="56"/>
      <c r="M14" s="56"/>
      <c r="N14" s="56"/>
      <c r="O14" s="56"/>
      <c r="P14" s="57"/>
      <c r="Q14" s="57"/>
      <c r="R14" s="57"/>
      <c r="S14" s="57"/>
      <c r="T14" s="57"/>
      <c r="U14" s="57"/>
      <c r="V14" s="57"/>
    </row>
    <row r="15" spans="1:22">
      <c r="A15" s="56" t="s">
        <v>22</v>
      </c>
      <c r="B15" s="57">
        <f>+B4/-25</f>
        <v>-6888585.2000000002</v>
      </c>
      <c r="C15" s="57">
        <f>+B15</f>
        <v>-6888585.2000000002</v>
      </c>
      <c r="D15" s="57">
        <f>-B4</f>
        <v>-172214630</v>
      </c>
      <c r="E15" s="57"/>
      <c r="F15" s="57"/>
      <c r="G15" s="57"/>
      <c r="H15" s="57"/>
      <c r="I15" s="57"/>
      <c r="J15" s="57"/>
      <c r="K15" s="56"/>
      <c r="L15" s="56"/>
      <c r="M15" s="56"/>
      <c r="N15" s="56"/>
      <c r="O15" s="56"/>
      <c r="P15" s="57"/>
      <c r="Q15" s="57"/>
      <c r="R15" s="57"/>
      <c r="S15" s="57"/>
      <c r="T15" s="57"/>
      <c r="U15" s="57"/>
      <c r="V15" s="57"/>
    </row>
    <row r="16" spans="1:22">
      <c r="A16" s="2" t="s">
        <v>23</v>
      </c>
      <c r="B16" s="3">
        <f>+B13+B15</f>
        <v>1202638.7999999998</v>
      </c>
      <c r="C16" s="3">
        <f>+C13+C15</f>
        <v>666841.79999999981</v>
      </c>
      <c r="D16" s="3">
        <f>+D13+D15</f>
        <v>22668008</v>
      </c>
      <c r="E16" s="57"/>
      <c r="F16" s="57"/>
      <c r="G16" s="57"/>
      <c r="H16" s="57"/>
      <c r="I16" s="57"/>
      <c r="J16" s="57"/>
      <c r="K16" s="56"/>
      <c r="L16" s="56"/>
      <c r="M16" s="56"/>
      <c r="N16" s="56"/>
      <c r="O16" s="56"/>
      <c r="P16" s="57"/>
      <c r="Q16" s="57"/>
      <c r="R16" s="57"/>
      <c r="S16" s="57"/>
      <c r="T16" s="57"/>
      <c r="U16" s="57"/>
      <c r="V16" s="57"/>
    </row>
    <row r="17" spans="1:22">
      <c r="A17" s="23" t="s">
        <v>24</v>
      </c>
      <c r="B17" s="18">
        <f>+B16/B4</f>
        <v>6.9833718540637333E-3</v>
      </c>
      <c r="C17" s="18">
        <f>+C16/B4</f>
        <v>3.8721553447578745E-3</v>
      </c>
      <c r="D17" s="18">
        <f>+(D16/25)/B4</f>
        <v>5.2650597687316112E-3</v>
      </c>
      <c r="E17" s="57"/>
      <c r="F17" s="57"/>
      <c r="G17" s="57"/>
      <c r="H17" s="57"/>
      <c r="I17" s="57"/>
      <c r="J17" s="57"/>
      <c r="K17" s="56"/>
      <c r="L17" s="56"/>
      <c r="M17" s="56"/>
      <c r="N17" s="56"/>
      <c r="O17" s="56"/>
      <c r="P17" s="57"/>
      <c r="Q17" s="57"/>
      <c r="R17" s="57"/>
      <c r="S17" s="57"/>
      <c r="T17" s="57"/>
      <c r="U17" s="57"/>
      <c r="V17" s="57"/>
    </row>
    <row r="18" spans="1:22">
      <c r="A18" s="2"/>
      <c r="B18" s="18"/>
      <c r="C18" s="18"/>
      <c r="D18" s="18"/>
      <c r="E18" s="57"/>
      <c r="F18" s="57"/>
      <c r="G18" s="57"/>
      <c r="H18" s="57"/>
      <c r="I18" s="57"/>
      <c r="J18" s="57"/>
      <c r="K18" s="56"/>
      <c r="L18" s="56"/>
      <c r="M18" s="56"/>
      <c r="N18" s="56"/>
      <c r="O18" s="56"/>
      <c r="P18" s="57"/>
      <c r="Q18" s="57"/>
      <c r="R18" s="57"/>
      <c r="S18" s="57"/>
      <c r="T18" s="57"/>
      <c r="U18" s="57"/>
      <c r="V18" s="57"/>
    </row>
    <row r="19" spans="1:22">
      <c r="A19" s="11" t="s">
        <v>25</v>
      </c>
      <c r="B19" s="3"/>
      <c r="C19" s="3"/>
      <c r="D19" s="57"/>
      <c r="E19" s="57"/>
      <c r="F19" s="57"/>
      <c r="G19" s="57"/>
      <c r="H19" s="57"/>
      <c r="I19" s="57"/>
      <c r="J19" s="57"/>
      <c r="K19" s="56"/>
      <c r="L19" s="56"/>
      <c r="M19" s="56"/>
      <c r="N19" s="56"/>
      <c r="O19" s="56"/>
      <c r="P19" s="57"/>
      <c r="Q19" s="57"/>
      <c r="R19" s="57"/>
      <c r="S19" s="57"/>
      <c r="T19" s="57"/>
      <c r="U19" s="57"/>
      <c r="V19" s="57"/>
    </row>
    <row r="20" spans="1:22" ht="15" thickBot="1">
      <c r="A20" s="2"/>
      <c r="B20" s="3"/>
      <c r="C20" s="3"/>
      <c r="D20" s="57"/>
      <c r="E20" s="57"/>
      <c r="F20" s="57"/>
      <c r="G20" s="57"/>
      <c r="H20" s="57"/>
      <c r="I20" s="57"/>
      <c r="J20" s="57"/>
      <c r="K20" s="56"/>
      <c r="L20" s="56"/>
      <c r="M20" s="56"/>
      <c r="N20" s="56"/>
      <c r="O20" s="56"/>
      <c r="P20" s="57"/>
      <c r="Q20" s="57"/>
      <c r="R20" s="57"/>
      <c r="S20" s="57"/>
      <c r="T20" s="57"/>
      <c r="U20" s="57"/>
      <c r="V20" s="57"/>
    </row>
    <row r="21" spans="1:22" ht="15.75" customHeight="1">
      <c r="A21" s="56"/>
      <c r="B21" s="67"/>
      <c r="C21" s="48" t="s">
        <v>26</v>
      </c>
      <c r="D21" s="48"/>
      <c r="E21" s="48"/>
      <c r="F21" s="48"/>
      <c r="G21" s="48"/>
      <c r="H21" s="49"/>
      <c r="I21" s="57"/>
      <c r="J21" s="68"/>
      <c r="K21" s="48" t="s">
        <v>27</v>
      </c>
      <c r="L21" s="48"/>
      <c r="M21" s="48"/>
      <c r="N21" s="48"/>
      <c r="O21" s="48"/>
      <c r="P21" s="49"/>
      <c r="Q21" s="57"/>
      <c r="R21" s="57"/>
      <c r="S21" s="57"/>
      <c r="T21" s="57"/>
      <c r="U21" s="57"/>
      <c r="V21" s="57"/>
    </row>
    <row r="22" spans="1:22" ht="15" thickBot="1">
      <c r="A22" s="56"/>
      <c r="B22" s="44"/>
      <c r="C22" s="50" t="s">
        <v>11</v>
      </c>
      <c r="D22" s="51"/>
      <c r="E22" s="50" t="s">
        <v>12</v>
      </c>
      <c r="F22" s="51"/>
      <c r="G22" s="50" t="s">
        <v>28</v>
      </c>
      <c r="H22" s="47"/>
      <c r="I22" s="57"/>
      <c r="J22" s="69"/>
      <c r="K22" s="50" t="s">
        <v>11</v>
      </c>
      <c r="L22" s="46"/>
      <c r="M22" s="50" t="s">
        <v>12</v>
      </c>
      <c r="N22" s="46"/>
      <c r="O22" s="46" t="s">
        <v>28</v>
      </c>
      <c r="P22" s="47"/>
      <c r="Q22" s="57"/>
      <c r="R22" s="57"/>
      <c r="S22" s="57"/>
      <c r="T22" s="57"/>
      <c r="U22" s="57"/>
      <c r="V22" s="57"/>
    </row>
    <row r="23" spans="1:22">
      <c r="A23" s="56"/>
      <c r="B23" s="44" t="s">
        <v>29</v>
      </c>
      <c r="C23" s="36">
        <v>31</v>
      </c>
      <c r="D23" s="38">
        <v>48</v>
      </c>
      <c r="E23" s="36">
        <f>+C23</f>
        <v>31</v>
      </c>
      <c r="F23" s="38">
        <f>+D23</f>
        <v>48</v>
      </c>
      <c r="G23" s="36">
        <f>+C23</f>
        <v>31</v>
      </c>
      <c r="H23" s="35">
        <f>+D23</f>
        <v>48</v>
      </c>
      <c r="I23" s="57"/>
      <c r="J23" s="44" t="s">
        <v>29</v>
      </c>
      <c r="K23" s="40">
        <f>+C23</f>
        <v>31</v>
      </c>
      <c r="L23" s="31">
        <f>+D23</f>
        <v>48</v>
      </c>
      <c r="M23" s="40">
        <f>+K23</f>
        <v>31</v>
      </c>
      <c r="N23" s="31">
        <f>+L23</f>
        <v>48</v>
      </c>
      <c r="O23" s="42">
        <f>+K23</f>
        <v>31</v>
      </c>
      <c r="P23" s="43">
        <f>+L23</f>
        <v>48</v>
      </c>
      <c r="Q23" s="57"/>
      <c r="R23" s="57"/>
      <c r="S23" s="57"/>
      <c r="T23" s="57"/>
      <c r="U23" s="57"/>
      <c r="V23" s="57"/>
    </row>
    <row r="24" spans="1:22">
      <c r="A24" s="56"/>
      <c r="B24" s="44"/>
      <c r="C24" s="70"/>
      <c r="D24" s="71"/>
      <c r="E24" s="70"/>
      <c r="F24" s="71"/>
      <c r="G24" s="70"/>
      <c r="H24" s="72"/>
      <c r="I24" s="57"/>
      <c r="J24" s="69"/>
      <c r="K24" s="70"/>
      <c r="L24" s="73"/>
      <c r="M24" s="70"/>
      <c r="N24" s="73"/>
      <c r="O24" s="70"/>
      <c r="P24" s="72"/>
      <c r="Q24" s="57"/>
      <c r="R24" s="57"/>
      <c r="S24" s="57"/>
      <c r="T24" s="57"/>
      <c r="U24" s="57"/>
      <c r="V24" s="57"/>
    </row>
    <row r="25" spans="1:22">
      <c r="A25" s="3"/>
      <c r="B25" s="44" t="s">
        <v>1</v>
      </c>
      <c r="C25" s="70">
        <f>+B4/B5*C23</f>
        <v>86149</v>
      </c>
      <c r="D25" s="71">
        <f>+B4/B5*D23</f>
        <v>133392</v>
      </c>
      <c r="E25" s="70">
        <f>+C25</f>
        <v>86149</v>
      </c>
      <c r="F25" s="71">
        <f>+D25</f>
        <v>133392</v>
      </c>
      <c r="G25" s="70">
        <f>+E25</f>
        <v>86149</v>
      </c>
      <c r="H25" s="72">
        <f>+F25</f>
        <v>133392</v>
      </c>
      <c r="I25" s="57"/>
      <c r="J25" s="44" t="s">
        <v>1</v>
      </c>
      <c r="K25" s="70">
        <f>+C25</f>
        <v>86149</v>
      </c>
      <c r="L25" s="73">
        <f>+D25</f>
        <v>133392</v>
      </c>
      <c r="M25" s="70">
        <f>+E25</f>
        <v>86149</v>
      </c>
      <c r="N25" s="73">
        <f>+F25</f>
        <v>133392</v>
      </c>
      <c r="O25" s="70">
        <f>+M25</f>
        <v>86149</v>
      </c>
      <c r="P25" s="72">
        <f>+N25</f>
        <v>133392</v>
      </c>
      <c r="Q25" s="57"/>
      <c r="R25" s="57"/>
      <c r="S25" s="57"/>
      <c r="T25" s="57"/>
      <c r="U25" s="57"/>
      <c r="V25" s="57"/>
    </row>
    <row r="26" spans="1:22">
      <c r="A26" s="3"/>
      <c r="B26" s="44"/>
      <c r="C26" s="70"/>
      <c r="D26" s="71"/>
      <c r="E26" s="70"/>
      <c r="F26" s="71"/>
      <c r="G26" s="70"/>
      <c r="H26" s="72"/>
      <c r="I26" s="57"/>
      <c r="J26" s="44"/>
      <c r="K26" s="70"/>
      <c r="L26" s="73"/>
      <c r="M26" s="70"/>
      <c r="N26" s="73"/>
      <c r="O26" s="70"/>
      <c r="P26" s="72"/>
      <c r="Q26" s="57"/>
      <c r="R26" s="57"/>
      <c r="S26" s="57"/>
      <c r="T26" s="57"/>
      <c r="U26" s="57"/>
      <c r="V26" s="57"/>
    </row>
    <row r="27" spans="1:22">
      <c r="A27" s="3"/>
      <c r="B27" s="69" t="s">
        <v>30</v>
      </c>
      <c r="C27" s="70">
        <f>+B11/$B$5*C23</f>
        <v>6815.7589478780055</v>
      </c>
      <c r="D27" s="71">
        <f>+B11/$B$5*D23</f>
        <v>10553.433209617557</v>
      </c>
      <c r="E27" s="70">
        <f>+C11/$B$5*E23</f>
        <v>6815.7589478780055</v>
      </c>
      <c r="F27" s="71">
        <f>+C11/$B$5*F23</f>
        <v>10553.433209617557</v>
      </c>
      <c r="G27" s="70">
        <f>+D11/$B$5*G23</f>
        <v>167315.37405196062</v>
      </c>
      <c r="H27" s="72">
        <f>+D11/$B$5*H23</f>
        <v>259068.96627400356</v>
      </c>
      <c r="I27" s="57"/>
      <c r="J27" s="44" t="s">
        <v>16</v>
      </c>
      <c r="K27" s="70">
        <f>+B11/$B$5*K23</f>
        <v>6815.7589478780055</v>
      </c>
      <c r="L27" s="73">
        <f>+B11/$B$5*L23</f>
        <v>10553.433209617557</v>
      </c>
      <c r="M27" s="70">
        <f>+C11/$B$5*M23</f>
        <v>6815.7589478780055</v>
      </c>
      <c r="N27" s="73">
        <f>+C11/$B$5*N23</f>
        <v>10553.433209617557</v>
      </c>
      <c r="O27" s="70">
        <f>+D11/$B$5*O23</f>
        <v>167315.37405196062</v>
      </c>
      <c r="P27" s="72">
        <f>+D11/$B$5*P23</f>
        <v>259068.96627400356</v>
      </c>
      <c r="Q27" s="57"/>
      <c r="R27" s="57"/>
      <c r="S27" s="57"/>
      <c r="T27" s="57"/>
      <c r="U27" s="57"/>
      <c r="V27" s="57"/>
    </row>
    <row r="28" spans="1:22">
      <c r="A28" s="3"/>
      <c r="B28" s="69" t="s">
        <v>31</v>
      </c>
      <c r="C28" s="70">
        <v>7000</v>
      </c>
      <c r="D28" s="71">
        <v>7000</v>
      </c>
      <c r="E28" s="70">
        <v>7000</v>
      </c>
      <c r="F28" s="71">
        <v>7000</v>
      </c>
      <c r="G28" s="70">
        <f>7000*25</f>
        <v>175000</v>
      </c>
      <c r="H28" s="72">
        <f>7000*25</f>
        <v>175000</v>
      </c>
      <c r="I28" s="57"/>
      <c r="J28" s="44" t="s">
        <v>18</v>
      </c>
      <c r="K28" s="70">
        <f>+B12/$B$5*K23</f>
        <v>-2768.1884460222686</v>
      </c>
      <c r="L28" s="73">
        <f>+B12/$B$5*L23</f>
        <v>-4286.2272712602871</v>
      </c>
      <c r="M28" s="70">
        <f>+C12/$B$5*M23</f>
        <v>-3036.2166370824593</v>
      </c>
      <c r="N28" s="73">
        <f>+C12/$B$5*N23</f>
        <v>-4701.2386638696144</v>
      </c>
      <c r="O28" s="70">
        <f>+D12/$B$5*O23</f>
        <v>-69826.883201549135</v>
      </c>
      <c r="P28" s="72">
        <f>+D12/$B$5*P23</f>
        <v>-108119.04495723738</v>
      </c>
      <c r="Q28" s="57"/>
      <c r="R28" s="57"/>
      <c r="S28" s="57"/>
      <c r="T28" s="57"/>
      <c r="U28" s="57"/>
      <c r="V28" s="57"/>
    </row>
    <row r="29" spans="1:22">
      <c r="A29" s="57"/>
      <c r="B29" s="4" t="s">
        <v>32</v>
      </c>
      <c r="C29" s="37">
        <f t="shared" ref="C29:H29" si="0">+C27-C28</f>
        <v>-184.24105212199447</v>
      </c>
      <c r="D29" s="39">
        <f t="shared" si="0"/>
        <v>3553.4332096175567</v>
      </c>
      <c r="E29" s="37">
        <f t="shared" si="0"/>
        <v>-184.24105212199447</v>
      </c>
      <c r="F29" s="39">
        <f t="shared" si="0"/>
        <v>3553.4332096175567</v>
      </c>
      <c r="G29" s="37">
        <f t="shared" si="0"/>
        <v>-7684.6259480393783</v>
      </c>
      <c r="H29" s="6">
        <f t="shared" si="0"/>
        <v>84068.966274003556</v>
      </c>
      <c r="I29" s="57"/>
      <c r="J29" s="8" t="s">
        <v>20</v>
      </c>
      <c r="K29" s="37">
        <f>SUM(K27:K28)</f>
        <v>4047.5705018557369</v>
      </c>
      <c r="L29" s="5">
        <f>SUM(L27:L28)</f>
        <v>6267.2059383572696</v>
      </c>
      <c r="M29" s="37">
        <f t="shared" ref="M29:N29" si="1">SUM(M27:M28)</f>
        <v>3779.5423107955462</v>
      </c>
      <c r="N29" s="5">
        <f t="shared" si="1"/>
        <v>5852.1945457479424</v>
      </c>
      <c r="O29" s="37">
        <f>SUM(O27:O28)</f>
        <v>97488.490850411486</v>
      </c>
      <c r="P29" s="6">
        <f>SUM(P27:P28)</f>
        <v>150949.92131676618</v>
      </c>
      <c r="Q29" s="57"/>
      <c r="R29" s="57"/>
      <c r="S29" s="57"/>
      <c r="T29" s="57"/>
      <c r="U29" s="57"/>
      <c r="V29" s="57"/>
    </row>
    <row r="30" spans="1:22">
      <c r="A30" s="57"/>
      <c r="B30" s="69" t="s">
        <v>33</v>
      </c>
      <c r="C30" s="70">
        <f>IF(C29&lt;0,0,C29*-0.4)</f>
        <v>0</v>
      </c>
      <c r="D30" s="71">
        <f>IF(D29&lt;0,0,D29*-0.4)</f>
        <v>-1421.3732838470228</v>
      </c>
      <c r="E30" s="70">
        <f>IF(E29&lt;0,0,E29*-0.4)</f>
        <v>0</v>
      </c>
      <c r="F30" s="71">
        <f>IF(F29&lt;0,0,F29*-0.4)</f>
        <v>-1421.3732838470228</v>
      </c>
      <c r="G30" s="70">
        <f t="shared" ref="G30" si="2">IF(G29&lt;0,0,G29*-0.4)</f>
        <v>0</v>
      </c>
      <c r="H30" s="72">
        <f>IF(H29&lt;0,0,H29*-0.4)</f>
        <v>-33627.586509601424</v>
      </c>
      <c r="I30" s="57"/>
      <c r="J30" s="69" t="s">
        <v>34</v>
      </c>
      <c r="K30" s="70">
        <f>-K29</f>
        <v>-4047.5705018557369</v>
      </c>
      <c r="L30" s="73">
        <f>-L29</f>
        <v>-6267.2059383572696</v>
      </c>
      <c r="M30" s="70">
        <f>+O63</f>
        <v>-3779.5423107955462</v>
      </c>
      <c r="N30" s="73">
        <f>+P63</f>
        <v>-5852.1945457479424</v>
      </c>
      <c r="O30" s="70">
        <f>IF(O29&lt;0,0,-B4/B5*O23)</f>
        <v>-86149</v>
      </c>
      <c r="P30" s="72">
        <f>IF(P29&lt;0,0,-B4/B5*P23)</f>
        <v>-133392</v>
      </c>
      <c r="Q30" s="57"/>
      <c r="R30" s="57"/>
      <c r="S30" s="57"/>
      <c r="T30" s="57"/>
      <c r="U30" s="57"/>
      <c r="V30" s="57"/>
    </row>
    <row r="31" spans="1:22">
      <c r="A31" s="57"/>
      <c r="B31" s="4" t="s">
        <v>35</v>
      </c>
      <c r="C31" s="37">
        <f>IF(C29+C30&lt;0,0,C29+C30)</f>
        <v>0</v>
      </c>
      <c r="D31" s="39">
        <f>IF(D29+D30&lt;0,0,D29+D30)</f>
        <v>2132.0599257705339</v>
      </c>
      <c r="E31" s="37">
        <f>IF(E29+E30&lt;0,0,E29+E30)</f>
        <v>0</v>
      </c>
      <c r="F31" s="39">
        <f>IF(F29+F30&lt;0,0,F29+F30)</f>
        <v>2132.0599257705339</v>
      </c>
      <c r="G31" s="37">
        <f t="shared" ref="G31" si="3">IF(G29+G30&lt;0,0,G29+G30)</f>
        <v>0</v>
      </c>
      <c r="H31" s="6">
        <f>IF(H29+H30&lt;0,0,H29+H30)</f>
        <v>50441.379764402132</v>
      </c>
      <c r="I31" s="3"/>
      <c r="J31" s="4" t="s">
        <v>35</v>
      </c>
      <c r="K31" s="41">
        <f>+K29+K30</f>
        <v>0</v>
      </c>
      <c r="L31" s="9">
        <f>+L29+L30</f>
        <v>0</v>
      </c>
      <c r="M31" s="41">
        <f>+M29+M30</f>
        <v>0</v>
      </c>
      <c r="N31" s="9">
        <f>+N29+N30</f>
        <v>0</v>
      </c>
      <c r="O31" s="37">
        <f>IF(O29+O30&lt;0,0,O29+O30)</f>
        <v>11339.490850411486</v>
      </c>
      <c r="P31" s="6">
        <f>IF(P29+P30&lt;0,0,P29+P30)</f>
        <v>17557.92131676618</v>
      </c>
      <c r="Q31" s="57"/>
      <c r="R31" s="57"/>
      <c r="S31" s="57"/>
      <c r="T31" s="57"/>
      <c r="U31" s="57"/>
      <c r="V31" s="57"/>
    </row>
    <row r="32" spans="1:22">
      <c r="A32" s="57"/>
      <c r="B32" s="69" t="s">
        <v>36</v>
      </c>
      <c r="C32" s="74"/>
      <c r="D32" s="75"/>
      <c r="E32" s="74"/>
      <c r="F32" s="75"/>
      <c r="G32" s="74"/>
      <c r="H32" s="76"/>
      <c r="I32" s="57"/>
      <c r="J32" s="69" t="s">
        <v>36</v>
      </c>
      <c r="K32" s="70"/>
      <c r="L32" s="73"/>
      <c r="M32" s="70"/>
      <c r="N32" s="73"/>
      <c r="O32" s="74"/>
      <c r="P32" s="76"/>
      <c r="Q32" s="57"/>
      <c r="R32" s="57"/>
      <c r="S32" s="57"/>
      <c r="T32" s="57"/>
      <c r="U32" s="57"/>
      <c r="V32" s="57"/>
    </row>
    <row r="33" spans="1:22">
      <c r="A33" s="57"/>
      <c r="B33" s="69" t="s">
        <v>37</v>
      </c>
      <c r="C33" s="70"/>
      <c r="D33" s="71"/>
      <c r="E33" s="70"/>
      <c r="F33" s="71"/>
      <c r="G33" s="70"/>
      <c r="H33" s="72"/>
      <c r="I33" s="3"/>
      <c r="J33" s="69" t="s">
        <v>37</v>
      </c>
      <c r="K33" s="70"/>
      <c r="L33" s="73"/>
      <c r="M33" s="70"/>
      <c r="N33" s="73"/>
      <c r="O33" s="70"/>
      <c r="P33" s="72"/>
      <c r="Q33" s="57"/>
      <c r="R33" s="57"/>
      <c r="S33" s="57"/>
      <c r="T33" s="57"/>
      <c r="U33" s="57"/>
      <c r="V33" s="57"/>
    </row>
    <row r="34" spans="1:22">
      <c r="A34" s="57" t="s">
        <v>38</v>
      </c>
      <c r="B34" s="12" t="s">
        <v>39</v>
      </c>
      <c r="C34" s="70">
        <f t="shared" ref="C34:H34" si="4">+C31*0.378</f>
        <v>0</v>
      </c>
      <c r="D34" s="71">
        <f>+D31*0.378</f>
        <v>805.91865194126183</v>
      </c>
      <c r="E34" s="70">
        <f t="shared" si="4"/>
        <v>0</v>
      </c>
      <c r="F34" s="71">
        <f>+F31*0.378</f>
        <v>805.91865194126183</v>
      </c>
      <c r="G34" s="70">
        <f t="shared" si="4"/>
        <v>0</v>
      </c>
      <c r="H34" s="71">
        <f t="shared" si="4"/>
        <v>19066.841550944006</v>
      </c>
      <c r="I34" s="57"/>
      <c r="J34" s="12" t="s">
        <v>40</v>
      </c>
      <c r="K34" s="70">
        <f t="shared" ref="K34:P34" si="5">+K31*0.256</f>
        <v>0</v>
      </c>
      <c r="L34" s="71">
        <f t="shared" si="5"/>
        <v>0</v>
      </c>
      <c r="M34" s="70">
        <f t="shared" si="5"/>
        <v>0</v>
      </c>
      <c r="N34" s="71">
        <f t="shared" si="5"/>
        <v>0</v>
      </c>
      <c r="O34" s="70">
        <f t="shared" si="5"/>
        <v>2902.9096577053406</v>
      </c>
      <c r="P34" s="71">
        <f t="shared" si="5"/>
        <v>4494.827857092142</v>
      </c>
      <c r="Q34" s="57" t="s">
        <v>41</v>
      </c>
      <c r="R34" s="57"/>
      <c r="S34" s="57"/>
      <c r="T34" s="57"/>
      <c r="U34" s="57"/>
      <c r="V34" s="57"/>
    </row>
    <row r="35" spans="1:22">
      <c r="A35" s="57" t="s">
        <v>42</v>
      </c>
      <c r="B35" s="12" t="s">
        <v>43</v>
      </c>
      <c r="C35" s="70">
        <f t="shared" ref="C35:H35" si="6">+C31*0.527</f>
        <v>0</v>
      </c>
      <c r="D35" s="71">
        <f t="shared" si="6"/>
        <v>1123.5955808810713</v>
      </c>
      <c r="E35" s="70">
        <f t="shared" si="6"/>
        <v>0</v>
      </c>
      <c r="F35" s="71">
        <f>+F31*0.527</f>
        <v>1123.5955808810713</v>
      </c>
      <c r="G35" s="70">
        <f t="shared" si="6"/>
        <v>0</v>
      </c>
      <c r="H35" s="71">
        <f t="shared" si="6"/>
        <v>26582.607135839924</v>
      </c>
      <c r="I35" s="57"/>
      <c r="J35" s="12" t="s">
        <v>44</v>
      </c>
      <c r="K35" s="70">
        <f t="shared" ref="K35:P35" si="7">+K31*0.427</f>
        <v>0</v>
      </c>
      <c r="L35" s="71">
        <f t="shared" si="7"/>
        <v>0</v>
      </c>
      <c r="M35" s="70">
        <f t="shared" si="7"/>
        <v>0</v>
      </c>
      <c r="N35" s="71">
        <f t="shared" si="7"/>
        <v>0</v>
      </c>
      <c r="O35" s="70">
        <f t="shared" si="7"/>
        <v>4841.9625931257042</v>
      </c>
      <c r="P35" s="71">
        <f t="shared" si="7"/>
        <v>7497.2324022591583</v>
      </c>
      <c r="Q35" s="57" t="s">
        <v>45</v>
      </c>
      <c r="R35" s="57"/>
      <c r="S35" s="57"/>
      <c r="T35" s="57"/>
      <c r="U35" s="57"/>
      <c r="V35" s="57"/>
    </row>
    <row r="36" spans="1:22">
      <c r="A36" s="57"/>
      <c r="B36" s="7"/>
      <c r="C36" s="70"/>
      <c r="D36" s="71"/>
      <c r="E36" s="70"/>
      <c r="F36" s="71"/>
      <c r="G36" s="70"/>
      <c r="H36" s="72"/>
      <c r="I36" s="57"/>
      <c r="J36" s="7"/>
      <c r="K36" s="70"/>
      <c r="L36" s="73"/>
      <c r="M36" s="70"/>
      <c r="N36" s="73"/>
      <c r="O36" s="70"/>
      <c r="P36" s="72"/>
      <c r="Q36" s="57"/>
      <c r="R36" s="57"/>
      <c r="S36" s="57"/>
      <c r="T36" s="57"/>
      <c r="U36" s="57"/>
      <c r="V36" s="57"/>
    </row>
    <row r="37" spans="1:22">
      <c r="A37" s="57"/>
      <c r="B37" s="44" t="s">
        <v>46</v>
      </c>
      <c r="C37" s="70">
        <f>+B16/B5*C23</f>
        <v>601.61050185573663</v>
      </c>
      <c r="D37" s="71">
        <f>+B16/B5*D23</f>
        <v>931.52593835726952</v>
      </c>
      <c r="E37" s="70">
        <f>+C16/B5*E23</f>
        <v>333.58231079554611</v>
      </c>
      <c r="F37" s="71">
        <f>+C16/B5*F23</f>
        <v>516.51454574794241</v>
      </c>
      <c r="G37" s="70">
        <f>+D16/B5*G23</f>
        <v>11339.490850411488</v>
      </c>
      <c r="H37" s="72">
        <f>+D16/B5*H23</f>
        <v>17557.921316766176</v>
      </c>
      <c r="I37" s="57"/>
      <c r="J37" s="44" t="s">
        <v>46</v>
      </c>
      <c r="K37" s="70">
        <f>+B16/B5*K23</f>
        <v>601.61050185573663</v>
      </c>
      <c r="L37" s="73">
        <f>+B16/B5*L23</f>
        <v>931.52593835726952</v>
      </c>
      <c r="M37" s="70">
        <f>+C16/B5*M23</f>
        <v>333.58231079554611</v>
      </c>
      <c r="N37" s="73">
        <f>+C16/B5*N23</f>
        <v>516.51454574794241</v>
      </c>
      <c r="O37" s="70">
        <f>+D16/B5*O23</f>
        <v>11339.490850411488</v>
      </c>
      <c r="P37" s="72">
        <f>+D16/B5*P23</f>
        <v>17557.921316766176</v>
      </c>
      <c r="Q37" s="57"/>
      <c r="R37" s="57"/>
      <c r="S37" s="57"/>
      <c r="T37" s="57"/>
      <c r="U37" s="57"/>
      <c r="V37" s="57"/>
    </row>
    <row r="38" spans="1:22">
      <c r="A38" s="57"/>
      <c r="B38" s="44"/>
      <c r="C38" s="70"/>
      <c r="D38" s="71"/>
      <c r="E38" s="70"/>
      <c r="F38" s="71"/>
      <c r="G38" s="70"/>
      <c r="H38" s="72"/>
      <c r="I38" s="57"/>
      <c r="J38" s="44"/>
      <c r="K38" s="70"/>
      <c r="L38" s="73"/>
      <c r="M38" s="70"/>
      <c r="N38" s="73"/>
      <c r="O38" s="70"/>
      <c r="P38" s="72"/>
      <c r="Q38" s="57"/>
      <c r="R38" s="57"/>
      <c r="S38" s="57"/>
      <c r="T38" s="57"/>
      <c r="U38" s="57"/>
      <c r="V38" s="57"/>
    </row>
    <row r="39" spans="1:22">
      <c r="A39" s="57"/>
      <c r="B39" s="44" t="s">
        <v>47</v>
      </c>
      <c r="C39" s="77">
        <f>+C34/C37</f>
        <v>0</v>
      </c>
      <c r="D39" s="78">
        <f>+D34/D37</f>
        <v>0.86515964693638692</v>
      </c>
      <c r="E39" s="77">
        <f t="shared" ref="E39:G39" si="8">+E34/E37</f>
        <v>0</v>
      </c>
      <c r="F39" s="79">
        <f>+F34/F37</f>
        <v>1.5603019480782401</v>
      </c>
      <c r="G39" s="77">
        <f t="shared" si="8"/>
        <v>0</v>
      </c>
      <c r="H39" s="80">
        <f>+H34/H37</f>
        <v>1.0859395714877109</v>
      </c>
      <c r="I39" s="57"/>
      <c r="J39" s="44" t="s">
        <v>48</v>
      </c>
      <c r="K39" s="77">
        <f>+K34/K37</f>
        <v>0</v>
      </c>
      <c r="L39" s="81">
        <f>+L34/L37</f>
        <v>0</v>
      </c>
      <c r="M39" s="77">
        <f t="shared" ref="M39:N39" si="9">+M34/M37</f>
        <v>0</v>
      </c>
      <c r="N39" s="81">
        <f t="shared" si="9"/>
        <v>0</v>
      </c>
      <c r="O39" s="77">
        <f>+O34/O37</f>
        <v>0.25599999999999995</v>
      </c>
      <c r="P39" s="80">
        <f>+P34/P37</f>
        <v>0.25600000000000006</v>
      </c>
      <c r="Q39" s="57"/>
      <c r="R39" s="57"/>
      <c r="S39" s="57"/>
      <c r="T39" s="57"/>
      <c r="U39" s="57"/>
      <c r="V39" s="57"/>
    </row>
    <row r="40" spans="1:22">
      <c r="A40" s="57"/>
      <c r="B40" s="44" t="s">
        <v>49</v>
      </c>
      <c r="C40" s="77">
        <f>+C35/C37</f>
        <v>0</v>
      </c>
      <c r="D40" s="78">
        <f>+D35/D37</f>
        <v>1.2061881850144864</v>
      </c>
      <c r="E40" s="77">
        <f t="shared" ref="E40:G40" si="10">+E35/E37</f>
        <v>0</v>
      </c>
      <c r="F40" s="79">
        <f>+F35/F37</f>
        <v>2.1753416048604035</v>
      </c>
      <c r="G40" s="77">
        <f t="shared" si="10"/>
        <v>0</v>
      </c>
      <c r="H40" s="80">
        <f>+H35/H37</f>
        <v>1.5139951168624963</v>
      </c>
      <c r="I40" s="57"/>
      <c r="J40" s="44" t="s">
        <v>50</v>
      </c>
      <c r="K40" s="77">
        <f>+K35/K37</f>
        <v>0</v>
      </c>
      <c r="L40" s="81">
        <f t="shared" ref="L40:N40" si="11">+L35/L37</f>
        <v>0</v>
      </c>
      <c r="M40" s="77">
        <f t="shared" si="11"/>
        <v>0</v>
      </c>
      <c r="N40" s="81">
        <f t="shared" si="11"/>
        <v>0</v>
      </c>
      <c r="O40" s="77">
        <f>+O35/O37</f>
        <v>0.42699999999999988</v>
      </c>
      <c r="P40" s="80">
        <f>+P35/P37</f>
        <v>0.42700000000000005</v>
      </c>
      <c r="Q40" s="57"/>
      <c r="R40" s="57"/>
      <c r="S40" s="57"/>
      <c r="T40" s="57"/>
      <c r="U40" s="57"/>
      <c r="V40" s="57"/>
    </row>
    <row r="41" spans="1:22" ht="15" thickBot="1">
      <c r="A41" s="57"/>
      <c r="B41" s="82"/>
      <c r="C41" s="83"/>
      <c r="D41" s="84"/>
      <c r="E41" s="85"/>
      <c r="F41" s="84"/>
      <c r="G41" s="83"/>
      <c r="H41" s="86"/>
      <c r="I41" s="57"/>
      <c r="J41" s="82"/>
      <c r="K41" s="83"/>
      <c r="L41" s="87"/>
      <c r="M41" s="83"/>
      <c r="N41" s="87"/>
      <c r="O41" s="83"/>
      <c r="P41" s="88"/>
      <c r="Q41" s="57"/>
      <c r="R41" s="57"/>
      <c r="S41" s="57"/>
      <c r="T41" s="57"/>
      <c r="U41" s="57"/>
      <c r="V41" s="57"/>
    </row>
    <row r="42" spans="1:22">
      <c r="A42" s="57"/>
      <c r="B42" s="56"/>
      <c r="C42" s="57"/>
      <c r="D42" s="57"/>
      <c r="E42" s="56"/>
      <c r="F42" s="56"/>
      <c r="G42" s="56"/>
      <c r="H42" s="56"/>
      <c r="I42" s="57"/>
      <c r="J42" s="57"/>
      <c r="K42" s="57"/>
      <c r="L42" s="57"/>
      <c r="M42" s="57"/>
      <c r="N42" s="57"/>
      <c r="O42" s="57"/>
      <c r="P42" s="56"/>
      <c r="Q42" s="57"/>
      <c r="R42" s="57"/>
      <c r="S42" s="57"/>
      <c r="T42" s="57"/>
      <c r="U42" s="57"/>
      <c r="V42" s="57"/>
    </row>
    <row r="43" spans="1:22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6"/>
      <c r="Q43" s="57"/>
      <c r="R43" s="57"/>
      <c r="S43" s="57"/>
      <c r="T43" s="57"/>
      <c r="U43" s="57"/>
      <c r="V43" s="57"/>
    </row>
    <row r="44" spans="1:22">
      <c r="A44" s="3" t="s">
        <v>51</v>
      </c>
      <c r="B44" s="57" t="s">
        <v>52</v>
      </c>
      <c r="C44" s="57"/>
      <c r="D44" s="57"/>
      <c r="E44" s="57"/>
      <c r="F44" s="57"/>
      <c r="G44" s="57"/>
      <c r="H44" s="57"/>
      <c r="I44" s="57"/>
      <c r="J44" s="57" t="s">
        <v>53</v>
      </c>
      <c r="K44" s="57"/>
      <c r="L44" s="57"/>
      <c r="M44" s="57"/>
      <c r="N44" s="57"/>
      <c r="O44" s="57"/>
      <c r="P44" s="56"/>
      <c r="Q44" s="57"/>
      <c r="R44" s="57"/>
      <c r="S44" s="57"/>
      <c r="T44" s="57"/>
      <c r="U44" s="57"/>
      <c r="V44" s="57"/>
    </row>
    <row r="45" spans="1:22">
      <c r="A45" s="3" t="s">
        <v>54</v>
      </c>
      <c r="B45" s="57" t="s">
        <v>55</v>
      </c>
      <c r="C45" s="57"/>
      <c r="D45" s="57"/>
      <c r="E45" s="57"/>
      <c r="F45" s="57"/>
      <c r="G45" s="57"/>
      <c r="H45" s="57"/>
      <c r="I45" s="57"/>
      <c r="J45" s="57" t="s">
        <v>55</v>
      </c>
      <c r="K45" s="57"/>
      <c r="L45" s="57"/>
      <c r="M45" s="57"/>
      <c r="N45" s="57"/>
      <c r="O45" s="57"/>
      <c r="P45" s="56"/>
      <c r="Q45" s="57"/>
      <c r="R45" s="57"/>
      <c r="S45" s="57"/>
      <c r="T45" s="57"/>
      <c r="U45" s="57"/>
      <c r="V45" s="57"/>
    </row>
    <row r="46" spans="1:22">
      <c r="A46" s="3" t="s">
        <v>56</v>
      </c>
      <c r="B46" s="57" t="s">
        <v>57</v>
      </c>
      <c r="C46" s="57"/>
      <c r="D46" s="57"/>
      <c r="E46" s="57"/>
      <c r="F46" s="57"/>
      <c r="G46" s="57"/>
      <c r="H46" s="57"/>
      <c r="I46" s="57"/>
      <c r="J46" s="57" t="s">
        <v>57</v>
      </c>
      <c r="K46" s="57"/>
      <c r="L46" s="57"/>
      <c r="M46" s="57"/>
      <c r="N46" s="57"/>
      <c r="O46" s="57"/>
      <c r="P46" s="56"/>
      <c r="Q46" s="57"/>
      <c r="R46" s="57"/>
      <c r="S46" s="57"/>
      <c r="T46" s="57"/>
      <c r="U46" s="57"/>
      <c r="V46" s="57"/>
    </row>
    <row r="47" spans="1:22">
      <c r="A47" s="3" t="s">
        <v>58</v>
      </c>
      <c r="B47" s="57" t="s">
        <v>59</v>
      </c>
      <c r="C47" s="57"/>
      <c r="D47" s="57"/>
      <c r="E47" s="57"/>
      <c r="F47" s="57"/>
      <c r="G47" s="57"/>
      <c r="H47" s="57"/>
      <c r="I47" s="57"/>
      <c r="J47" s="57" t="s">
        <v>60</v>
      </c>
      <c r="K47" s="57"/>
      <c r="L47" s="57"/>
      <c r="M47" s="57"/>
      <c r="N47" s="57"/>
      <c r="O47" s="57"/>
      <c r="P47" s="56"/>
      <c r="Q47" s="57"/>
      <c r="R47" s="57"/>
      <c r="S47" s="57"/>
      <c r="T47" s="57"/>
      <c r="U47" s="57"/>
      <c r="V47" s="57"/>
    </row>
    <row r="48" spans="1:22">
      <c r="A48" s="56"/>
      <c r="B48" s="57" t="s">
        <v>61</v>
      </c>
      <c r="C48" s="57"/>
      <c r="D48" s="57"/>
      <c r="E48" s="57"/>
      <c r="F48" s="57"/>
      <c r="G48" s="57"/>
      <c r="H48" s="57"/>
      <c r="I48" s="57"/>
      <c r="J48" s="57" t="s">
        <v>62</v>
      </c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</row>
    <row r="49" spans="1:22">
      <c r="A49" s="2" t="s">
        <v>63</v>
      </c>
      <c r="B49" s="57" t="s">
        <v>64</v>
      </c>
      <c r="C49" s="57"/>
      <c r="D49" s="57"/>
      <c r="E49" s="57"/>
      <c r="F49" s="57"/>
      <c r="G49" s="57"/>
      <c r="H49" s="57"/>
      <c r="I49" s="57"/>
      <c r="J49" s="57" t="s">
        <v>65</v>
      </c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>
      <c r="A50" s="56"/>
      <c r="B50" s="57"/>
      <c r="C50" s="57"/>
      <c r="D50" s="57"/>
      <c r="E50" s="57"/>
      <c r="F50" s="57"/>
      <c r="G50" s="57"/>
      <c r="H50" s="57"/>
      <c r="I50" s="57"/>
      <c r="J50" s="13"/>
      <c r="K50" s="13"/>
      <c r="L50" s="13"/>
      <c r="M50" s="14"/>
      <c r="N50" s="14"/>
      <c r="O50" s="13"/>
      <c r="P50" s="13"/>
      <c r="Q50" s="13"/>
      <c r="R50" s="57"/>
      <c r="S50" s="57"/>
      <c r="T50" s="57"/>
      <c r="U50" s="57"/>
      <c r="V50" s="57"/>
    </row>
    <row r="51" spans="1:22">
      <c r="A51" s="56"/>
      <c r="B51" s="57"/>
      <c r="C51" s="57"/>
      <c r="D51" s="57"/>
      <c r="E51" s="57"/>
      <c r="F51" s="57"/>
      <c r="G51" s="57"/>
      <c r="H51" s="57"/>
      <c r="I51" s="57"/>
      <c r="J51" s="13"/>
      <c r="K51" s="13"/>
      <c r="L51" s="13"/>
      <c r="M51" s="20">
        <f>+M53-M52</f>
        <v>-12922.350000000006</v>
      </c>
      <c r="N51" s="20">
        <f>+N53-N52</f>
        <v>-20008.800000000003</v>
      </c>
      <c r="O51" s="22" t="s">
        <v>66</v>
      </c>
      <c r="P51" s="22" t="s">
        <v>66</v>
      </c>
      <c r="Q51" s="13"/>
      <c r="R51" s="57"/>
      <c r="S51" s="57"/>
      <c r="T51" s="57"/>
      <c r="U51" s="57"/>
      <c r="V51" s="57"/>
    </row>
    <row r="52" spans="1:22">
      <c r="A52" s="56"/>
      <c r="B52" s="56"/>
      <c r="C52" s="57"/>
      <c r="D52" s="57"/>
      <c r="E52" s="57"/>
      <c r="F52" s="57"/>
      <c r="G52" s="57"/>
      <c r="H52" s="57"/>
      <c r="I52" s="57"/>
      <c r="J52" s="13" t="s">
        <v>67</v>
      </c>
      <c r="K52" s="14" t="s">
        <v>68</v>
      </c>
      <c r="L52" s="14" t="s">
        <v>69</v>
      </c>
      <c r="M52" s="13">
        <f>+M25</f>
        <v>86149</v>
      </c>
      <c r="N52" s="13">
        <f>+N25</f>
        <v>133392</v>
      </c>
      <c r="O52" s="21">
        <f>+M23</f>
        <v>31</v>
      </c>
      <c r="P52" s="19">
        <f>+N23</f>
        <v>48</v>
      </c>
      <c r="Q52" s="13"/>
      <c r="R52" s="57"/>
      <c r="S52" s="57"/>
      <c r="T52" s="57"/>
      <c r="U52" s="57"/>
      <c r="V52" s="57"/>
    </row>
    <row r="53" spans="1:22">
      <c r="A53" s="56"/>
      <c r="B53" s="3"/>
      <c r="C53" s="24"/>
      <c r="D53" s="24"/>
      <c r="E53" s="57"/>
      <c r="F53" s="57"/>
      <c r="G53" s="57"/>
      <c r="H53" s="57"/>
      <c r="I53" s="57"/>
      <c r="J53" s="13" t="s">
        <v>70</v>
      </c>
      <c r="K53" s="13">
        <v>13624922</v>
      </c>
      <c r="L53" s="13">
        <v>2962098</v>
      </c>
      <c r="M53" s="13">
        <f>+M52*0.85</f>
        <v>73226.649999999994</v>
      </c>
      <c r="N53" s="13">
        <f>+N52*0.85</f>
        <v>113383.2</v>
      </c>
      <c r="O53" s="13">
        <f t="shared" ref="O53:O60" si="12">+(K53-L53)/$B$5*$M$23+M53-M52</f>
        <v>-7588.3570356624259</v>
      </c>
      <c r="P53" s="13">
        <f>+(K53-L53)/$B$5*$N$23+N53-N52</f>
        <v>-11749.714119735363</v>
      </c>
      <c r="Q53" s="13"/>
      <c r="R53" s="57">
        <f>+K53-L53</f>
        <v>10662824</v>
      </c>
      <c r="S53" s="57">
        <f>+M52-M53</f>
        <v>12922.350000000006</v>
      </c>
      <c r="T53" s="57">
        <f>+R53-S53</f>
        <v>10649901.65</v>
      </c>
      <c r="U53" s="57"/>
      <c r="V53" s="57"/>
    </row>
    <row r="54" spans="1:22">
      <c r="A54" s="56"/>
      <c r="B54" s="56"/>
      <c r="C54" s="56"/>
      <c r="D54" s="57"/>
      <c r="E54" s="57"/>
      <c r="F54" s="57"/>
      <c r="G54" s="57"/>
      <c r="H54" s="57"/>
      <c r="I54" s="57"/>
      <c r="J54" s="13" t="s">
        <v>71</v>
      </c>
      <c r="K54" s="13">
        <v>13624922</v>
      </c>
      <c r="L54" s="13">
        <v>5553779</v>
      </c>
      <c r="M54" s="13">
        <f>+M53*0.85</f>
        <v>62242.652499999997</v>
      </c>
      <c r="N54" s="13">
        <f>+N53*0.85</f>
        <v>96375.72</v>
      </c>
      <c r="O54" s="13">
        <f t="shared" si="12"/>
        <v>-6946.4723588026391</v>
      </c>
      <c r="P54" s="13">
        <f>+(K54-L54)/$B$5*$N$23+N54-N53</f>
        <v>-10755.828168468608</v>
      </c>
      <c r="Q54" s="13"/>
      <c r="R54" s="57">
        <f>+K54-L54</f>
        <v>8071143</v>
      </c>
      <c r="S54" s="57">
        <f>+M53-M54</f>
        <v>10983.997499999998</v>
      </c>
      <c r="T54" s="57">
        <f>+R54-S54</f>
        <v>8060159.0025000004</v>
      </c>
      <c r="U54" s="57"/>
      <c r="V54" s="57"/>
    </row>
    <row r="55" spans="1:22">
      <c r="A55" s="56"/>
      <c r="B55" s="57"/>
      <c r="C55" s="57"/>
      <c r="D55" s="57"/>
      <c r="E55" s="57"/>
      <c r="F55" s="57"/>
      <c r="G55" s="57"/>
      <c r="H55" s="57"/>
      <c r="I55" s="57"/>
      <c r="J55" s="13" t="s">
        <v>72</v>
      </c>
      <c r="K55" s="13">
        <v>13624922</v>
      </c>
      <c r="L55" s="13">
        <v>5681396</v>
      </c>
      <c r="M55" s="13">
        <f t="shared" ref="M55:M60" si="13">+M54*0.85</f>
        <v>52906.254624999994</v>
      </c>
      <c r="N55" s="13">
        <f t="shared" ref="N55:N60" si="14">+N54*0.85</f>
        <v>81919.361999999994</v>
      </c>
      <c r="O55" s="13">
        <f t="shared" si="12"/>
        <v>-5362.7121238300824</v>
      </c>
      <c r="P55" s="13">
        <f>+(K55-L55)/$B$5*$N$23+N55-N54</f>
        <v>-8303.5542562530318</v>
      </c>
      <c r="Q55" s="13"/>
      <c r="R55" s="57">
        <f>+K55-L55</f>
        <v>7943526</v>
      </c>
      <c r="S55" s="57">
        <f>+M54-M55</f>
        <v>9336.3978750000024</v>
      </c>
      <c r="T55" s="57">
        <f>+R55-S55</f>
        <v>7934189.6021250002</v>
      </c>
      <c r="U55" s="57"/>
      <c r="V55" s="57"/>
    </row>
    <row r="56" spans="1:22">
      <c r="A56" s="56"/>
      <c r="B56" s="57"/>
      <c r="C56" s="57"/>
      <c r="D56" s="57"/>
      <c r="E56" s="57"/>
      <c r="F56" s="57"/>
      <c r="G56" s="57"/>
      <c r="H56" s="57"/>
      <c r="I56" s="57"/>
      <c r="J56" s="13" t="s">
        <v>73</v>
      </c>
      <c r="K56" s="13">
        <v>13624922</v>
      </c>
      <c r="L56" s="13">
        <v>5755972</v>
      </c>
      <c r="M56" s="13">
        <f t="shared" si="13"/>
        <v>44970.316431249994</v>
      </c>
      <c r="N56" s="13">
        <f t="shared" si="14"/>
        <v>69631.457699999999</v>
      </c>
      <c r="O56" s="13">
        <f t="shared" si="12"/>
        <v>-3999.5584938952306</v>
      </c>
      <c r="P56" s="13">
        <f t="shared" ref="P56:P57" si="15">+(K56-L56)/$B$5*$N$23+N56-N55</f>
        <v>-6192.8647647409962</v>
      </c>
      <c r="Q56" s="13"/>
      <c r="R56" s="57">
        <f>+K56-L56</f>
        <v>7868950</v>
      </c>
      <c r="S56" s="57">
        <f>+M55-M56</f>
        <v>7935.9381937500002</v>
      </c>
      <c r="T56" s="57">
        <f>+R56-S56</f>
        <v>7861014.0618062504</v>
      </c>
      <c r="U56" s="57"/>
      <c r="V56" s="57"/>
    </row>
    <row r="57" spans="1:22">
      <c r="A57" s="56"/>
      <c r="B57" s="57"/>
      <c r="C57" s="89"/>
      <c r="D57" s="57"/>
      <c r="E57" s="57"/>
      <c r="F57" s="57"/>
      <c r="G57" s="57"/>
      <c r="H57" s="57"/>
      <c r="I57" s="57"/>
      <c r="J57" s="13" t="s">
        <v>74</v>
      </c>
      <c r="K57" s="13">
        <v>13624922</v>
      </c>
      <c r="L57" s="13">
        <v>5832041</v>
      </c>
      <c r="M57" s="13">
        <f t="shared" si="13"/>
        <v>38224.768966562493</v>
      </c>
      <c r="N57" s="13">
        <f t="shared" si="14"/>
        <v>59186.739044999995</v>
      </c>
      <c r="O57" s="13">
        <f t="shared" si="12"/>
        <v>-2847.220677532423</v>
      </c>
      <c r="P57" s="13">
        <f t="shared" si="15"/>
        <v>-4408.5997587598904</v>
      </c>
      <c r="Q57" s="13"/>
      <c r="R57" s="57">
        <f>+K57-L57</f>
        <v>7792881</v>
      </c>
      <c r="S57" s="57">
        <f>+M56-M57</f>
        <v>6745.5474646875009</v>
      </c>
      <c r="T57" s="57">
        <f>+R57-S57</f>
        <v>7786135.4525353126</v>
      </c>
      <c r="U57" s="57"/>
      <c r="V57" s="57"/>
    </row>
    <row r="58" spans="1:22">
      <c r="A58" s="56"/>
      <c r="B58" s="57"/>
      <c r="C58" s="57"/>
      <c r="D58" s="57"/>
      <c r="E58" s="57"/>
      <c r="F58" s="57"/>
      <c r="G58" s="57"/>
      <c r="H58" s="57"/>
      <c r="I58" s="57"/>
      <c r="J58" s="13" t="s">
        <v>75</v>
      </c>
      <c r="K58" s="13">
        <v>13624922</v>
      </c>
      <c r="L58" s="13">
        <v>5909630</v>
      </c>
      <c r="M58" s="13">
        <f t="shared" si="13"/>
        <v>32491.053621578118</v>
      </c>
      <c r="N58" s="13">
        <f t="shared" si="14"/>
        <v>50308.728188249996</v>
      </c>
      <c r="O58" s="13">
        <f t="shared" si="12"/>
        <v>-1874.2018384489566</v>
      </c>
      <c r="P58" s="13">
        <f>+(K58-L58)/$B$5*$N$23+N58-N57</f>
        <v>-2901.9899434048348</v>
      </c>
      <c r="Q58" s="13"/>
      <c r="R58" s="57">
        <f t="shared" ref="R58:R61" si="16">+K58-L58</f>
        <v>7715292</v>
      </c>
      <c r="S58" s="57">
        <f t="shared" ref="S58:S61" si="17">+M57-M58</f>
        <v>5733.7153449843754</v>
      </c>
      <c r="T58" s="57">
        <f t="shared" ref="T58:T61" si="18">+R58-S58</f>
        <v>7709558.2846550159</v>
      </c>
      <c r="U58" s="57"/>
      <c r="V58" s="57"/>
    </row>
    <row r="59" spans="1:22">
      <c r="A59" s="56"/>
      <c r="B59" s="57"/>
      <c r="C59" s="57"/>
      <c r="D59" s="57"/>
      <c r="E59" s="57"/>
      <c r="F59" s="57"/>
      <c r="G59" s="57"/>
      <c r="H59" s="57"/>
      <c r="I59" s="57"/>
      <c r="J59" s="13" t="s">
        <v>76</v>
      </c>
      <c r="K59" s="13">
        <v>13624922</v>
      </c>
      <c r="L59" s="13">
        <v>5988771</v>
      </c>
      <c r="M59" s="13">
        <f t="shared" si="13"/>
        <v>27617.395578341399</v>
      </c>
      <c r="N59" s="13">
        <f t="shared" si="14"/>
        <v>42762.418960012496</v>
      </c>
      <c r="O59" s="13">
        <f t="shared" si="12"/>
        <v>-1053.7341929865979</v>
      </c>
      <c r="P59" s="13">
        <f>+(K59-L59)/$B$5*$N$23+N59-N58</f>
        <v>-1631.5884278502199</v>
      </c>
      <c r="Q59" s="13"/>
      <c r="R59" s="57">
        <f t="shared" si="16"/>
        <v>7636151</v>
      </c>
      <c r="S59" s="57">
        <f t="shared" si="17"/>
        <v>4873.6580432367191</v>
      </c>
      <c r="T59" s="57">
        <f t="shared" si="18"/>
        <v>7631277.3419567635</v>
      </c>
      <c r="U59" s="57"/>
      <c r="V59" s="57"/>
    </row>
    <row r="60" spans="1:22">
      <c r="A60" s="56"/>
      <c r="B60" s="57"/>
      <c r="C60" s="57"/>
      <c r="D60" s="57"/>
      <c r="E60" s="57"/>
      <c r="F60" s="57"/>
      <c r="G60" s="57"/>
      <c r="H60" s="57"/>
      <c r="I60" s="57"/>
      <c r="J60" s="13" t="s">
        <v>77</v>
      </c>
      <c r="K60" s="13">
        <v>13624922</v>
      </c>
      <c r="L60" s="13">
        <v>6069495</v>
      </c>
      <c r="M60" s="13">
        <f t="shared" si="13"/>
        <v>23474.786241590187</v>
      </c>
      <c r="N60" s="13">
        <f t="shared" si="14"/>
        <v>36348.056116010623</v>
      </c>
      <c r="O60" s="13">
        <f t="shared" si="12"/>
        <v>-363.06702595566458</v>
      </c>
      <c r="P60" s="13">
        <f>+(K60-L60)/$B$5*$N$23+N60-N59</f>
        <v>-562.16829825392779</v>
      </c>
      <c r="Q60" s="13"/>
      <c r="R60" s="57">
        <f t="shared" si="16"/>
        <v>7555427</v>
      </c>
      <c r="S60" s="57">
        <f t="shared" si="17"/>
        <v>4142.6093367512112</v>
      </c>
      <c r="T60" s="57">
        <f t="shared" si="18"/>
        <v>7551284.3906632485</v>
      </c>
      <c r="U60" s="57"/>
      <c r="V60" s="57"/>
    </row>
    <row r="61" spans="1:22">
      <c r="A61" s="56"/>
      <c r="B61" s="57"/>
      <c r="C61" s="89"/>
      <c r="D61" s="57"/>
      <c r="E61" s="57"/>
      <c r="F61" s="57"/>
      <c r="G61" s="57"/>
      <c r="H61" s="57"/>
      <c r="I61" s="57"/>
      <c r="J61" s="13" t="s">
        <v>78</v>
      </c>
      <c r="K61" s="13">
        <v>13624922</v>
      </c>
      <c r="L61" s="13">
        <v>6151834</v>
      </c>
      <c r="M61" s="13"/>
      <c r="N61" s="13"/>
      <c r="O61" s="13"/>
      <c r="P61" s="13"/>
      <c r="Q61" s="13"/>
      <c r="R61" s="57">
        <f t="shared" si="16"/>
        <v>7473088</v>
      </c>
      <c r="S61" s="57">
        <f t="shared" si="17"/>
        <v>23474.786241590187</v>
      </c>
      <c r="T61" s="57">
        <f t="shared" si="18"/>
        <v>7449613.21375841</v>
      </c>
      <c r="U61" s="57"/>
      <c r="V61" s="57"/>
    </row>
    <row r="62" spans="1:22">
      <c r="A62" s="56"/>
      <c r="B62" s="57"/>
      <c r="C62" s="57"/>
      <c r="D62" s="57"/>
      <c r="E62" s="57"/>
      <c r="F62" s="57"/>
      <c r="G62" s="57"/>
      <c r="H62" s="57"/>
      <c r="I62" s="57"/>
      <c r="J62" s="13" t="s">
        <v>79</v>
      </c>
      <c r="K62" s="13">
        <v>13624922</v>
      </c>
      <c r="L62" s="13">
        <v>6260282</v>
      </c>
      <c r="M62" s="19">
        <f>+M60-M59</f>
        <v>-4142.6093367512112</v>
      </c>
      <c r="N62" s="19">
        <f>+N60-N59</f>
        <v>-6414.3628440018729</v>
      </c>
      <c r="O62" s="19">
        <f>SUM(O53:O61)</f>
        <v>-30035.32374711402</v>
      </c>
      <c r="P62" s="19">
        <f>SUM(P53:P61)</f>
        <v>-46506.307737466872</v>
      </c>
      <c r="Q62" s="13"/>
      <c r="R62" s="57"/>
      <c r="S62" s="57"/>
      <c r="T62" s="57"/>
      <c r="U62" s="57"/>
      <c r="V62" s="57"/>
    </row>
    <row r="63" spans="1:22">
      <c r="A63" s="56"/>
      <c r="B63" s="57"/>
      <c r="C63" s="57"/>
      <c r="D63" s="57"/>
      <c r="E63" s="57"/>
      <c r="F63" s="57"/>
      <c r="G63" s="57"/>
      <c r="H63" s="57"/>
      <c r="I63" s="57"/>
      <c r="J63" s="13" t="s">
        <v>80</v>
      </c>
      <c r="K63" s="13">
        <v>13624922</v>
      </c>
      <c r="L63" s="13">
        <v>3136492</v>
      </c>
      <c r="M63" s="13"/>
      <c r="N63" s="13"/>
      <c r="O63" s="13">
        <f>IF(O62&gt;0,M62,-M29)</f>
        <v>-3779.5423107955462</v>
      </c>
      <c r="P63" s="13">
        <f>IF(P62&gt;0,N62,-N29)</f>
        <v>-5852.1945457479424</v>
      </c>
      <c r="Q63" s="13"/>
      <c r="R63" s="57"/>
      <c r="S63" s="57"/>
      <c r="T63" s="57"/>
      <c r="U63" s="57"/>
      <c r="V63" s="57"/>
    </row>
    <row r="64" spans="1:22">
      <c r="A64" s="56"/>
      <c r="B64" s="57"/>
      <c r="C64" s="57"/>
      <c r="D64" s="57"/>
      <c r="E64" s="57"/>
      <c r="F64" s="57"/>
      <c r="G64" s="57"/>
      <c r="H64" s="57"/>
      <c r="I64" s="57"/>
      <c r="J64" s="13" t="s">
        <v>81</v>
      </c>
      <c r="K64" s="13">
        <v>13624922</v>
      </c>
      <c r="L64" s="13">
        <v>3136492</v>
      </c>
      <c r="M64" s="13"/>
      <c r="N64" s="13"/>
      <c r="O64" s="13"/>
      <c r="P64" s="13"/>
      <c r="Q64" s="13"/>
      <c r="R64" s="57"/>
      <c r="S64" s="57"/>
      <c r="T64" s="57"/>
      <c r="U64" s="57"/>
      <c r="V64" s="57"/>
    </row>
    <row r="65" spans="2:22">
      <c r="B65" s="57"/>
      <c r="C65" s="89"/>
      <c r="D65" s="57"/>
      <c r="E65" s="57"/>
      <c r="F65" s="57"/>
      <c r="G65" s="57"/>
      <c r="H65" s="57"/>
      <c r="I65" s="57"/>
      <c r="J65" s="13" t="s">
        <v>82</v>
      </c>
      <c r="K65" s="13">
        <v>13624922</v>
      </c>
      <c r="L65" s="13">
        <v>3136492</v>
      </c>
      <c r="M65" s="13"/>
      <c r="N65" s="13"/>
      <c r="O65" s="13"/>
      <c r="P65" s="13"/>
      <c r="Q65" s="13"/>
      <c r="R65" s="57"/>
      <c r="S65" s="57"/>
      <c r="T65" s="57"/>
      <c r="U65" s="57"/>
      <c r="V65" s="57"/>
    </row>
    <row r="66" spans="2:22">
      <c r="B66" s="57"/>
      <c r="C66" s="57"/>
      <c r="D66" s="57"/>
      <c r="E66" s="57"/>
      <c r="F66" s="57"/>
      <c r="G66" s="57"/>
      <c r="H66" s="57"/>
      <c r="I66" s="57"/>
      <c r="J66" s="13" t="s">
        <v>83</v>
      </c>
      <c r="K66" s="13">
        <v>13624922</v>
      </c>
      <c r="L66" s="13">
        <v>3136492</v>
      </c>
      <c r="M66" s="13"/>
      <c r="N66" s="13"/>
      <c r="O66" s="13"/>
      <c r="P66" s="13"/>
      <c r="Q66" s="13"/>
      <c r="R66" s="57"/>
      <c r="S66" s="57"/>
      <c r="T66" s="57"/>
      <c r="U66" s="57"/>
      <c r="V66" s="57"/>
    </row>
    <row r="67" spans="2:22">
      <c r="B67" s="57"/>
      <c r="C67" s="57"/>
      <c r="D67" s="57"/>
      <c r="E67" s="56"/>
      <c r="F67" s="56"/>
      <c r="G67" s="56"/>
      <c r="H67" s="56"/>
      <c r="I67" s="56"/>
      <c r="J67" s="13" t="s">
        <v>84</v>
      </c>
      <c r="K67" s="13">
        <v>13624922</v>
      </c>
      <c r="L67" s="13">
        <v>3136492</v>
      </c>
      <c r="M67" s="14"/>
      <c r="N67" s="14"/>
      <c r="O67" s="14"/>
      <c r="P67" s="14"/>
      <c r="Q67" s="14"/>
      <c r="R67" s="56"/>
      <c r="S67" s="56"/>
      <c r="T67" s="56"/>
      <c r="U67" s="56"/>
      <c r="V67" s="56"/>
    </row>
    <row r="68" spans="2:22">
      <c r="B68" s="57"/>
      <c r="C68" s="57"/>
      <c r="D68" s="57"/>
      <c r="E68" s="56"/>
      <c r="F68" s="56"/>
      <c r="G68" s="56"/>
      <c r="H68" s="56"/>
      <c r="I68" s="56"/>
      <c r="J68" s="13" t="s">
        <v>85</v>
      </c>
      <c r="K68" s="13">
        <v>13624922</v>
      </c>
      <c r="L68" s="13">
        <v>3136492</v>
      </c>
      <c r="M68" s="14"/>
      <c r="N68" s="14"/>
      <c r="O68" s="14"/>
      <c r="P68" s="14"/>
      <c r="Q68" s="14"/>
      <c r="R68" s="56"/>
      <c r="S68" s="56"/>
      <c r="T68" s="56"/>
      <c r="U68" s="56"/>
      <c r="V68" s="56"/>
    </row>
    <row r="69" spans="2:22">
      <c r="B69" s="57"/>
      <c r="C69" s="89"/>
      <c r="D69" s="57"/>
      <c r="E69" s="56"/>
      <c r="F69" s="56"/>
      <c r="G69" s="56"/>
      <c r="H69" s="56"/>
      <c r="I69" s="56"/>
      <c r="J69" s="13" t="s">
        <v>86</v>
      </c>
      <c r="K69" s="13">
        <v>13624922</v>
      </c>
      <c r="L69" s="13">
        <v>3136492</v>
      </c>
      <c r="M69" s="14"/>
      <c r="N69" s="14"/>
      <c r="O69" s="14"/>
      <c r="P69" s="14"/>
      <c r="Q69" s="14"/>
      <c r="R69" s="56"/>
      <c r="S69" s="56"/>
      <c r="T69" s="56"/>
      <c r="U69" s="56"/>
      <c r="V69" s="56"/>
    </row>
    <row r="70" spans="2:22">
      <c r="B70" s="57"/>
      <c r="C70" s="56"/>
      <c r="D70" s="57"/>
      <c r="E70" s="56"/>
      <c r="F70" s="56"/>
      <c r="G70" s="56"/>
      <c r="H70" s="56"/>
      <c r="I70" s="56"/>
      <c r="J70" s="13" t="s">
        <v>87</v>
      </c>
      <c r="K70" s="13">
        <v>13624922</v>
      </c>
      <c r="L70" s="13">
        <v>3136492</v>
      </c>
      <c r="M70" s="14"/>
      <c r="N70" s="14"/>
      <c r="O70" s="14"/>
      <c r="P70" s="14"/>
      <c r="Q70" s="14"/>
      <c r="R70" s="56"/>
      <c r="S70" s="56"/>
      <c r="T70" s="56"/>
      <c r="U70" s="56"/>
      <c r="V70" s="56"/>
    </row>
    <row r="71" spans="2:22">
      <c r="B71" s="57"/>
      <c r="C71" s="56"/>
      <c r="D71" s="57"/>
      <c r="E71" s="56"/>
      <c r="F71" s="56"/>
      <c r="G71" s="56"/>
      <c r="H71" s="56"/>
      <c r="I71" s="56"/>
      <c r="J71" s="13" t="s">
        <v>88</v>
      </c>
      <c r="K71" s="13">
        <v>13624922</v>
      </c>
      <c r="L71" s="13">
        <v>3136492</v>
      </c>
      <c r="M71" s="14"/>
      <c r="N71" s="14"/>
      <c r="O71" s="14"/>
      <c r="P71" s="14"/>
      <c r="Q71" s="14"/>
      <c r="R71" s="56"/>
      <c r="S71" s="56"/>
      <c r="T71" s="56"/>
      <c r="U71" s="56"/>
      <c r="V71" s="56"/>
    </row>
    <row r="72" spans="2:22">
      <c r="B72" s="57"/>
      <c r="C72" s="56"/>
      <c r="D72" s="57"/>
      <c r="E72" s="56"/>
      <c r="F72" s="56"/>
      <c r="G72" s="56"/>
      <c r="H72" s="56"/>
      <c r="I72" s="56"/>
      <c r="J72" s="13" t="s">
        <v>89</v>
      </c>
      <c r="K72" s="13">
        <v>13624922</v>
      </c>
      <c r="L72" s="13">
        <v>3136492</v>
      </c>
      <c r="M72" s="14"/>
      <c r="N72" s="14"/>
      <c r="O72" s="14"/>
      <c r="P72" s="14"/>
      <c r="Q72" s="14"/>
      <c r="R72" s="56"/>
      <c r="S72" s="56"/>
      <c r="T72" s="56"/>
      <c r="U72" s="56"/>
      <c r="V72" s="56"/>
    </row>
    <row r="73" spans="2:22">
      <c r="B73" s="57"/>
      <c r="C73" s="56"/>
      <c r="D73" s="57"/>
      <c r="E73" s="56"/>
      <c r="F73" s="56"/>
      <c r="G73" s="56"/>
      <c r="H73" s="56"/>
      <c r="I73" s="56"/>
      <c r="J73" s="13" t="s">
        <v>90</v>
      </c>
      <c r="K73" s="13">
        <v>13624922</v>
      </c>
      <c r="L73" s="13">
        <v>3136492</v>
      </c>
      <c r="M73" s="14"/>
      <c r="N73" s="14"/>
      <c r="O73" s="14"/>
      <c r="P73" s="14"/>
      <c r="Q73" s="14"/>
      <c r="R73" s="56"/>
      <c r="S73" s="56"/>
      <c r="T73" s="56"/>
      <c r="U73" s="56"/>
      <c r="V73" s="56"/>
    </row>
    <row r="74" spans="2:22">
      <c r="B74" s="57"/>
      <c r="C74" s="56"/>
      <c r="D74" s="57"/>
      <c r="E74" s="56"/>
      <c r="F74" s="56"/>
      <c r="G74" s="56"/>
      <c r="H74" s="56"/>
      <c r="I74" s="56"/>
      <c r="J74" s="13" t="s">
        <v>91</v>
      </c>
      <c r="K74" s="13">
        <v>13624922</v>
      </c>
      <c r="L74" s="13">
        <v>3136492</v>
      </c>
      <c r="M74" s="14"/>
      <c r="N74" s="14"/>
      <c r="O74" s="14"/>
      <c r="P74" s="14"/>
      <c r="Q74" s="14"/>
      <c r="R74" s="56"/>
      <c r="S74" s="56"/>
      <c r="T74" s="56"/>
      <c r="U74" s="56"/>
      <c r="V74" s="56"/>
    </row>
    <row r="75" spans="2:22">
      <c r="B75" s="57"/>
      <c r="C75" s="56"/>
      <c r="D75" s="57"/>
      <c r="E75" s="56"/>
      <c r="F75" s="56"/>
      <c r="G75" s="56"/>
      <c r="H75" s="56"/>
      <c r="I75" s="56"/>
      <c r="J75" s="13" t="s">
        <v>92</v>
      </c>
      <c r="K75" s="13">
        <v>13624922</v>
      </c>
      <c r="L75" s="13">
        <v>3136492</v>
      </c>
      <c r="M75" s="14"/>
      <c r="N75" s="14"/>
      <c r="O75" s="14"/>
      <c r="P75" s="14"/>
      <c r="Q75" s="14"/>
      <c r="R75" s="56"/>
      <c r="S75" s="56"/>
      <c r="T75" s="56"/>
      <c r="U75" s="56"/>
      <c r="V75" s="56"/>
    </row>
    <row r="76" spans="2:22">
      <c r="B76" s="57"/>
      <c r="C76" s="56"/>
      <c r="D76" s="57"/>
      <c r="E76" s="56"/>
      <c r="F76" s="56"/>
      <c r="G76" s="56"/>
      <c r="H76" s="56"/>
      <c r="I76" s="56"/>
      <c r="J76" s="13" t="s">
        <v>93</v>
      </c>
      <c r="K76" s="13">
        <v>13624922</v>
      </c>
      <c r="L76" s="13">
        <v>3136492</v>
      </c>
      <c r="M76" s="14"/>
      <c r="N76" s="14"/>
      <c r="O76" s="14"/>
      <c r="P76" s="14"/>
      <c r="Q76" s="14"/>
      <c r="R76" s="56"/>
      <c r="S76" s="56"/>
      <c r="T76" s="56"/>
      <c r="U76" s="56"/>
      <c r="V76" s="56"/>
    </row>
    <row r="77" spans="2:22">
      <c r="B77" s="57"/>
      <c r="C77" s="56"/>
      <c r="D77" s="56"/>
      <c r="E77" s="56"/>
      <c r="F77" s="56"/>
      <c r="G77" s="56"/>
      <c r="H77" s="56"/>
      <c r="I77" s="56"/>
      <c r="J77" s="13" t="s">
        <v>94</v>
      </c>
      <c r="K77" s="13">
        <v>13624922</v>
      </c>
      <c r="L77" s="13">
        <v>3136492</v>
      </c>
      <c r="M77" s="14"/>
      <c r="N77" s="14"/>
      <c r="O77" s="14"/>
      <c r="P77" s="14"/>
      <c r="Q77" s="14"/>
      <c r="R77" s="56"/>
      <c r="S77" s="56"/>
      <c r="T77" s="56"/>
      <c r="U77" s="56"/>
      <c r="V77" s="56"/>
    </row>
    <row r="78" spans="2:22">
      <c r="B78" s="56"/>
      <c r="C78" s="56"/>
      <c r="D78" s="56"/>
      <c r="E78" s="56"/>
      <c r="F78" s="56"/>
      <c r="G78" s="56"/>
      <c r="H78" s="56"/>
      <c r="I78" s="56"/>
      <c r="J78" s="15"/>
      <c r="K78" s="17">
        <f>SUM(K53:K77)</f>
        <v>340623050</v>
      </c>
      <c r="L78" s="17">
        <f>SUM(L53:L77)</f>
        <v>103212678</v>
      </c>
      <c r="M78" s="16"/>
      <c r="N78" s="16"/>
      <c r="O78" s="16"/>
      <c r="P78" s="16"/>
      <c r="Q78" s="56"/>
      <c r="R78" s="56"/>
      <c r="S78" s="56"/>
      <c r="T78" s="56"/>
      <c r="U78" s="56"/>
      <c r="V78" s="56"/>
    </row>
    <row r="79" spans="2:22">
      <c r="B79" s="56"/>
      <c r="C79" s="56"/>
      <c r="D79" s="56"/>
      <c r="E79" s="56"/>
      <c r="F79" s="56"/>
      <c r="G79" s="56"/>
      <c r="H79" s="56"/>
      <c r="I79" s="56"/>
      <c r="J79" s="15"/>
      <c r="K79" s="15">
        <f>+K78-L78</f>
        <v>237410372</v>
      </c>
      <c r="L79" s="16"/>
      <c r="M79" s="16"/>
      <c r="N79" s="16"/>
      <c r="O79" s="16"/>
      <c r="P79" s="16"/>
      <c r="Q79" s="56"/>
      <c r="R79" s="56"/>
      <c r="S79" s="56"/>
      <c r="T79" s="56"/>
      <c r="U79" s="56"/>
      <c r="V79" s="56"/>
    </row>
    <row r="80" spans="2:22">
      <c r="B80" s="56"/>
      <c r="C80" s="56"/>
      <c r="D80" s="56"/>
      <c r="E80" s="56"/>
      <c r="F80" s="56"/>
      <c r="G80" s="56"/>
      <c r="H80" s="56"/>
      <c r="I80" s="56"/>
      <c r="J80" s="15"/>
      <c r="K80" s="15"/>
      <c r="L80" s="16"/>
      <c r="M80" s="16"/>
      <c r="N80" s="16"/>
      <c r="O80" s="16"/>
      <c r="P80" s="16"/>
      <c r="Q80" s="56"/>
      <c r="R80" s="56"/>
      <c r="S80" s="56"/>
      <c r="T80" s="56"/>
      <c r="U80" s="56"/>
      <c r="V80" s="56"/>
    </row>
    <row r="81" spans="10:16">
      <c r="J81" s="16"/>
      <c r="K81" s="16"/>
      <c r="L81" s="16"/>
      <c r="M81" s="16"/>
      <c r="N81" s="16"/>
      <c r="O81" s="16"/>
      <c r="P81" s="16"/>
    </row>
    <row r="82" spans="10:16">
      <c r="J82" s="16"/>
      <c r="K82" s="16"/>
      <c r="L82" s="16"/>
      <c r="M82" s="16"/>
      <c r="N82" s="16"/>
      <c r="O82" s="16"/>
      <c r="P82" s="16"/>
    </row>
  </sheetData>
  <mergeCells count="8">
    <mergeCell ref="O22:P22"/>
    <mergeCell ref="K21:P21"/>
    <mergeCell ref="C22:D22"/>
    <mergeCell ref="E22:F22"/>
    <mergeCell ref="K22:L22"/>
    <mergeCell ref="M22:N22"/>
    <mergeCell ref="G22:H22"/>
    <mergeCell ref="C21:H21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28"/>
  <sheetViews>
    <sheetView view="pageBreakPreview" zoomScale="70" zoomScaleNormal="100" zoomScaleSheetLayoutView="70" workbookViewId="0">
      <selection activeCell="A65" sqref="A65"/>
    </sheetView>
  </sheetViews>
  <sheetFormatPr defaultColWidth="9.140625" defaultRowHeight="14.45"/>
  <cols>
    <col min="1" max="1" width="25.5703125" style="1" customWidth="1"/>
    <col min="2" max="2" width="27.140625" style="1" customWidth="1"/>
    <col min="3" max="3" width="12.85546875" style="1" customWidth="1"/>
    <col min="4" max="4" width="16.5703125" style="1" bestFit="1" customWidth="1"/>
    <col min="5" max="5" width="10.7109375" style="1" customWidth="1"/>
    <col min="6" max="6" width="12.42578125" style="1" bestFit="1" customWidth="1"/>
    <col min="7" max="7" width="11.28515625" style="1" customWidth="1"/>
    <col min="8" max="8" width="12.28515625" style="1" customWidth="1"/>
    <col min="9" max="9" width="5.140625" style="1" customWidth="1"/>
    <col min="10" max="10" width="28.28515625" style="1" customWidth="1"/>
    <col min="11" max="11" width="10.7109375" style="1" customWidth="1"/>
    <col min="12" max="12" width="14.7109375" style="1" bestFit="1" customWidth="1"/>
    <col min="13" max="13" width="14.42578125" style="1" bestFit="1" customWidth="1"/>
    <col min="14" max="16" width="14" style="1" bestFit="1" customWidth="1"/>
    <col min="17" max="17" width="9.140625" style="1"/>
    <col min="18" max="18" width="13.28515625" style="1" bestFit="1" customWidth="1"/>
    <col min="19" max="19" width="10.5703125" style="1" bestFit="1" customWidth="1"/>
    <col min="20" max="20" width="12" style="1" bestFit="1" customWidth="1"/>
    <col min="21" max="21" width="14.85546875" style="1" bestFit="1" customWidth="1"/>
    <col min="22" max="22" width="9.140625" style="1"/>
    <col min="23" max="23" width="11.5703125" style="1" bestFit="1" customWidth="1"/>
    <col min="24" max="24" width="9.140625" style="1"/>
    <col min="25" max="25" width="11.5703125" style="1" bestFit="1" customWidth="1"/>
    <col min="26" max="26" width="9.140625" style="1"/>
    <col min="27" max="27" width="11.28515625" style="1" bestFit="1" customWidth="1"/>
    <col min="28" max="28" width="9.140625" style="1"/>
    <col min="29" max="29" width="10.85546875" style="1" bestFit="1" customWidth="1"/>
    <col min="30" max="16384" width="9.140625" style="1"/>
  </cols>
  <sheetData>
    <row r="1" spans="1:22">
      <c r="A1" s="2" t="s">
        <v>95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>
      <c r="A3" s="2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>
      <c r="A4" s="56" t="s">
        <v>96</v>
      </c>
      <c r="B4" s="57">
        <f>+SKAT!B4</f>
        <v>172214630</v>
      </c>
      <c r="C4" s="57" t="s">
        <v>4</v>
      </c>
      <c r="D4" s="56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>
      <c r="A5" s="56" t="s">
        <v>5</v>
      </c>
      <c r="B5" s="57">
        <f>+SKAT!B5</f>
        <v>61970</v>
      </c>
      <c r="C5" s="57" t="s">
        <v>4</v>
      </c>
      <c r="D5" s="56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1:22">
      <c r="A6" s="56" t="s">
        <v>6</v>
      </c>
      <c r="B6" s="57">
        <f>+B4/B5</f>
        <v>2779</v>
      </c>
      <c r="C6" s="57" t="s">
        <v>4</v>
      </c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2">
      <c r="A7" s="56" t="s">
        <v>7</v>
      </c>
      <c r="B7" s="59">
        <f>+C55</f>
        <v>0.03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</row>
    <row r="8" spans="1:22">
      <c r="A8" s="56"/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</row>
    <row r="9" spans="1:22">
      <c r="A9" s="56"/>
      <c r="B9" s="56"/>
      <c r="C9" s="57"/>
      <c r="D9" s="56"/>
      <c r="E9" s="56"/>
      <c r="F9" s="56"/>
      <c r="G9" s="56"/>
      <c r="H9" s="56"/>
      <c r="I9" s="56"/>
      <c r="J9" s="62"/>
      <c r="K9" s="56"/>
      <c r="L9" s="56"/>
      <c r="M9" s="56"/>
      <c r="N9" s="56"/>
      <c r="O9" s="56"/>
      <c r="P9" s="57"/>
      <c r="Q9" s="57"/>
      <c r="R9" s="57"/>
      <c r="S9" s="57"/>
      <c r="T9" s="57"/>
      <c r="U9" s="57"/>
      <c r="V9" s="57"/>
    </row>
    <row r="10" spans="1:22">
      <c r="A10" s="2" t="s">
        <v>10</v>
      </c>
      <c r="B10" s="10" t="s">
        <v>97</v>
      </c>
      <c r="C10" s="10" t="s">
        <v>98</v>
      </c>
      <c r="D10" s="10" t="s">
        <v>13</v>
      </c>
      <c r="E10" s="56"/>
      <c r="F10" s="56"/>
      <c r="G10" s="56"/>
      <c r="H10" s="56"/>
      <c r="I10" s="56"/>
      <c r="J10" s="64"/>
      <c r="K10" s="56"/>
      <c r="L10" s="56"/>
      <c r="M10" s="56"/>
      <c r="N10" s="56"/>
      <c r="O10" s="56"/>
      <c r="P10" s="57"/>
      <c r="Q10" s="57"/>
      <c r="R10" s="57"/>
      <c r="S10" s="57"/>
      <c r="T10" s="57"/>
      <c r="U10" s="57"/>
      <c r="V10" s="57"/>
    </row>
    <row r="11" spans="1:22">
      <c r="A11" s="56" t="s">
        <v>16</v>
      </c>
      <c r="B11" s="57">
        <f>+SKAT!B11</f>
        <v>13624922</v>
      </c>
      <c r="C11" s="57">
        <f>+SKAT!C11</f>
        <v>13624922</v>
      </c>
      <c r="D11" s="57">
        <f>+SKAT!D11</f>
        <v>334468830</v>
      </c>
      <c r="E11" s="56"/>
      <c r="F11" s="56"/>
      <c r="G11" s="56"/>
      <c r="H11" s="56"/>
      <c r="I11" s="56"/>
      <c r="J11" s="57"/>
      <c r="K11" s="56"/>
      <c r="L11" s="56"/>
      <c r="M11" s="56"/>
      <c r="N11" s="56"/>
      <c r="O11" s="56"/>
      <c r="P11" s="57"/>
      <c r="Q11" s="57"/>
      <c r="R11" s="57"/>
      <c r="S11" s="57"/>
      <c r="T11" s="57"/>
      <c r="U11" s="57"/>
      <c r="V11" s="57"/>
    </row>
    <row r="12" spans="1:22">
      <c r="A12" s="56" t="s">
        <v>18</v>
      </c>
      <c r="B12" s="57">
        <f>+SKAT!B12</f>
        <v>-5533698</v>
      </c>
      <c r="C12" s="57">
        <f>+SKAT!C12</f>
        <v>-6069495</v>
      </c>
      <c r="D12" s="57">
        <f>+SKAT!D12</f>
        <v>-139586192</v>
      </c>
      <c r="E12" s="57"/>
      <c r="F12" s="57"/>
      <c r="G12" s="66"/>
      <c r="H12" s="57"/>
      <c r="I12" s="57"/>
      <c r="J12" s="57"/>
      <c r="K12" s="56"/>
      <c r="L12" s="56"/>
      <c r="M12" s="56"/>
      <c r="N12" s="56"/>
      <c r="O12" s="56"/>
      <c r="P12" s="57"/>
      <c r="Q12" s="57"/>
      <c r="R12" s="57"/>
      <c r="S12" s="57"/>
      <c r="T12" s="57"/>
      <c r="U12" s="57"/>
      <c r="V12" s="57"/>
    </row>
    <row r="13" spans="1:22">
      <c r="A13" s="2" t="s">
        <v>20</v>
      </c>
      <c r="B13" s="3">
        <f>SUM(B11:B12)</f>
        <v>8091224</v>
      </c>
      <c r="C13" s="3">
        <f>SUM(C11:C12)</f>
        <v>7555427</v>
      </c>
      <c r="D13" s="3">
        <f>SUM(D11:D12)</f>
        <v>194882638</v>
      </c>
      <c r="E13" s="57"/>
      <c r="F13" s="57"/>
      <c r="G13" s="66"/>
      <c r="H13" s="57"/>
      <c r="I13" s="57"/>
      <c r="J13" s="57"/>
      <c r="K13" s="56"/>
      <c r="L13" s="56"/>
      <c r="M13" s="56"/>
      <c r="N13" s="56"/>
      <c r="O13" s="56"/>
      <c r="P13" s="57"/>
      <c r="Q13" s="57"/>
      <c r="R13" s="57"/>
      <c r="S13" s="57"/>
      <c r="T13" s="57"/>
      <c r="U13" s="57"/>
      <c r="V13" s="57"/>
    </row>
    <row r="14" spans="1:22">
      <c r="A14" s="23" t="s">
        <v>21</v>
      </c>
      <c r="B14" s="18">
        <f>+B13/B4</f>
        <v>4.6983371854063732E-2</v>
      </c>
      <c r="C14" s="18">
        <f>+C13/B4</f>
        <v>4.3872155344757878E-2</v>
      </c>
      <c r="D14" s="18">
        <f>+(D13/25)/B4</f>
        <v>4.5265059768731609E-2</v>
      </c>
      <c r="E14" s="57"/>
      <c r="F14" s="57"/>
      <c r="G14" s="66"/>
      <c r="H14" s="57"/>
      <c r="I14" s="57"/>
      <c r="J14" s="57"/>
      <c r="K14" s="56"/>
      <c r="L14" s="56"/>
      <c r="M14" s="56"/>
      <c r="N14" s="56"/>
      <c r="O14" s="56"/>
      <c r="P14" s="57"/>
      <c r="Q14" s="57"/>
      <c r="R14" s="57"/>
      <c r="S14" s="57"/>
      <c r="T14" s="57"/>
      <c r="U14" s="57"/>
      <c r="V14" s="57"/>
    </row>
    <row r="15" spans="1:22">
      <c r="A15" s="56" t="s">
        <v>22</v>
      </c>
      <c r="B15" s="57">
        <f>+B4/-25</f>
        <v>-6888585.2000000002</v>
      </c>
      <c r="C15" s="57">
        <f>+B15</f>
        <v>-6888585.2000000002</v>
      </c>
      <c r="D15" s="57">
        <f>-B4</f>
        <v>-172214630</v>
      </c>
      <c r="E15" s="57"/>
      <c r="F15" s="57"/>
      <c r="G15" s="57"/>
      <c r="H15" s="57"/>
      <c r="I15" s="57"/>
      <c r="J15" s="57"/>
      <c r="K15" s="56"/>
      <c r="L15" s="56"/>
      <c r="M15" s="56"/>
      <c r="N15" s="56"/>
      <c r="O15" s="56"/>
      <c r="P15" s="57"/>
      <c r="Q15" s="57"/>
      <c r="R15" s="57"/>
      <c r="S15" s="57"/>
      <c r="T15" s="57"/>
      <c r="U15" s="57"/>
      <c r="V15" s="57"/>
    </row>
    <row r="16" spans="1:22">
      <c r="A16" s="2" t="s">
        <v>23</v>
      </c>
      <c r="B16" s="3">
        <f>+B13+B15</f>
        <v>1202638.7999999998</v>
      </c>
      <c r="C16" s="3">
        <f>+C13+C15</f>
        <v>666841.79999999981</v>
      </c>
      <c r="D16" s="3">
        <f>+D13+D15</f>
        <v>22668008</v>
      </c>
      <c r="E16" s="57"/>
      <c r="F16" s="57"/>
      <c r="G16" s="57"/>
      <c r="H16" s="57"/>
      <c r="I16" s="57"/>
      <c r="J16" s="57"/>
      <c r="K16" s="56"/>
      <c r="L16" s="56"/>
      <c r="M16" s="56"/>
      <c r="N16" s="56"/>
      <c r="O16" s="56"/>
      <c r="P16" s="57"/>
      <c r="Q16" s="57"/>
      <c r="R16" s="57"/>
      <c r="S16" s="57"/>
      <c r="T16" s="57"/>
      <c r="U16" s="57"/>
      <c r="V16" s="57"/>
    </row>
    <row r="17" spans="1:22">
      <c r="A17" s="23" t="s">
        <v>24</v>
      </c>
      <c r="B17" s="18">
        <f>+B16/B4</f>
        <v>6.9833718540637333E-3</v>
      </c>
      <c r="C17" s="18">
        <f>+C16/B4</f>
        <v>3.8721553447578745E-3</v>
      </c>
      <c r="D17" s="18">
        <f>+(D16/25)/B4</f>
        <v>5.2650597687316112E-3</v>
      </c>
      <c r="E17" s="57"/>
      <c r="F17" s="57"/>
      <c r="G17" s="57"/>
      <c r="H17" s="57"/>
      <c r="I17" s="57"/>
      <c r="J17" s="57"/>
      <c r="K17" s="56"/>
      <c r="L17" s="56"/>
      <c r="M17" s="56"/>
      <c r="N17" s="56"/>
      <c r="O17" s="56"/>
      <c r="P17" s="57"/>
      <c r="Q17" s="57"/>
      <c r="R17" s="57"/>
      <c r="S17" s="57"/>
      <c r="T17" s="57"/>
      <c r="U17" s="57"/>
      <c r="V17" s="57"/>
    </row>
    <row r="18" spans="1:22">
      <c r="A18" s="2"/>
      <c r="B18" s="18"/>
      <c r="C18" s="18"/>
      <c r="D18" s="18"/>
      <c r="E18" s="57"/>
      <c r="F18" s="57"/>
      <c r="G18" s="57"/>
      <c r="H18" s="57"/>
      <c r="I18" s="57"/>
      <c r="J18" s="57"/>
      <c r="K18" s="56"/>
      <c r="L18" s="56"/>
      <c r="M18" s="56"/>
      <c r="N18" s="56"/>
      <c r="O18" s="56"/>
      <c r="P18" s="57"/>
      <c r="Q18" s="57"/>
      <c r="R18" s="57"/>
      <c r="S18" s="57"/>
      <c r="T18" s="57"/>
      <c r="U18" s="57"/>
      <c r="V18" s="57"/>
    </row>
    <row r="19" spans="1:22">
      <c r="A19" s="11" t="s">
        <v>25</v>
      </c>
      <c r="B19" s="3"/>
      <c r="C19" s="3"/>
      <c r="D19" s="57"/>
      <c r="E19" s="57"/>
      <c r="F19" s="57"/>
      <c r="G19" s="57"/>
      <c r="H19" s="57"/>
      <c r="I19" s="57"/>
      <c r="J19" s="57"/>
      <c r="K19" s="56"/>
      <c r="L19" s="56"/>
      <c r="M19" s="56"/>
      <c r="N19" s="56"/>
      <c r="O19" s="56"/>
      <c r="P19" s="57"/>
      <c r="Q19" s="57"/>
      <c r="R19" s="57"/>
      <c r="S19" s="57"/>
      <c r="T19" s="57"/>
      <c r="U19" s="57"/>
      <c r="V19" s="57"/>
    </row>
    <row r="20" spans="1:22" ht="15" thickBot="1">
      <c r="A20" s="2"/>
      <c r="B20" s="3"/>
      <c r="C20" s="3"/>
      <c r="D20" s="57"/>
      <c r="E20" s="57"/>
      <c r="F20" s="57"/>
      <c r="G20" s="57"/>
      <c r="H20" s="57"/>
      <c r="I20" s="57"/>
      <c r="J20" s="57"/>
      <c r="K20" s="56"/>
      <c r="L20" s="56"/>
      <c r="M20" s="56"/>
      <c r="N20" s="56"/>
      <c r="O20" s="56"/>
      <c r="P20" s="57"/>
      <c r="Q20" s="57"/>
      <c r="R20" s="57"/>
      <c r="S20" s="57"/>
      <c r="T20" s="57"/>
      <c r="U20" s="57"/>
      <c r="V20" s="57"/>
    </row>
    <row r="21" spans="1:22" ht="15.75" customHeight="1">
      <c r="A21" s="56"/>
      <c r="B21" s="67"/>
      <c r="C21" s="48" t="s">
        <v>26</v>
      </c>
      <c r="D21" s="48"/>
      <c r="E21" s="48"/>
      <c r="F21" s="48"/>
      <c r="G21" s="48"/>
      <c r="H21" s="49"/>
      <c r="I21" s="57"/>
      <c r="J21" s="68"/>
      <c r="K21" s="48" t="s">
        <v>27</v>
      </c>
      <c r="L21" s="48"/>
      <c r="M21" s="48"/>
      <c r="N21" s="48"/>
      <c r="O21" s="48"/>
      <c r="P21" s="49"/>
      <c r="Q21" s="57"/>
      <c r="R21" s="57"/>
      <c r="S21" s="57"/>
      <c r="T21" s="57"/>
      <c r="U21" s="57"/>
      <c r="V21" s="57"/>
    </row>
    <row r="22" spans="1:22">
      <c r="A22" s="56"/>
      <c r="B22" s="44"/>
      <c r="C22" s="54" t="s">
        <v>97</v>
      </c>
      <c r="D22" s="54"/>
      <c r="E22" s="54" t="s">
        <v>98</v>
      </c>
      <c r="F22" s="54"/>
      <c r="G22" s="54" t="s">
        <v>28</v>
      </c>
      <c r="H22" s="55"/>
      <c r="I22" s="57"/>
      <c r="J22" s="69"/>
      <c r="K22" s="54" t="s">
        <v>97</v>
      </c>
      <c r="L22" s="54"/>
      <c r="M22" s="54" t="s">
        <v>98</v>
      </c>
      <c r="N22" s="54"/>
      <c r="O22" s="54" t="s">
        <v>28</v>
      </c>
      <c r="P22" s="55"/>
      <c r="Q22" s="57"/>
      <c r="R22" s="57"/>
      <c r="S22" s="57"/>
      <c r="T22" s="57"/>
      <c r="U22" s="57"/>
      <c r="V22" s="57"/>
    </row>
    <row r="23" spans="1:22">
      <c r="A23" s="56"/>
      <c r="B23" s="44" t="s">
        <v>29</v>
      </c>
      <c r="C23" s="73">
        <f>+C54</f>
        <v>16</v>
      </c>
      <c r="D23" s="73"/>
      <c r="E23" s="73">
        <f>+C23</f>
        <v>16</v>
      </c>
      <c r="F23" s="73">
        <f>+D23</f>
        <v>0</v>
      </c>
      <c r="G23" s="73">
        <f>+C23</f>
        <v>16</v>
      </c>
      <c r="H23" s="72">
        <f>+D23</f>
        <v>0</v>
      </c>
      <c r="I23" s="57"/>
      <c r="J23" s="44" t="s">
        <v>29</v>
      </c>
      <c r="K23" s="73">
        <f>+K54</f>
        <v>16</v>
      </c>
      <c r="L23" s="73">
        <f>+D23</f>
        <v>0</v>
      </c>
      <c r="M23" s="73">
        <f>+K23</f>
        <v>16</v>
      </c>
      <c r="N23" s="73">
        <f>+L23</f>
        <v>0</v>
      </c>
      <c r="O23" s="73">
        <f>+K23</f>
        <v>16</v>
      </c>
      <c r="P23" s="72">
        <f>+L23</f>
        <v>0</v>
      </c>
      <c r="Q23" s="57"/>
      <c r="R23" s="57"/>
      <c r="S23" s="57"/>
      <c r="T23" s="57"/>
      <c r="U23" s="57"/>
      <c r="V23" s="57"/>
    </row>
    <row r="24" spans="1:22">
      <c r="A24" s="56"/>
      <c r="B24" s="44"/>
      <c r="C24" s="73"/>
      <c r="D24" s="73"/>
      <c r="E24" s="73"/>
      <c r="F24" s="73"/>
      <c r="G24" s="73"/>
      <c r="H24" s="72"/>
      <c r="I24" s="57"/>
      <c r="J24" s="69"/>
      <c r="K24" s="73"/>
      <c r="L24" s="73"/>
      <c r="M24" s="73"/>
      <c r="N24" s="73"/>
      <c r="O24" s="73"/>
      <c r="P24" s="72"/>
      <c r="Q24" s="57"/>
      <c r="R24" s="57"/>
      <c r="S24" s="57"/>
      <c r="T24" s="57"/>
      <c r="U24" s="57"/>
      <c r="V24" s="57"/>
    </row>
    <row r="25" spans="1:22">
      <c r="A25" s="3"/>
      <c r="B25" s="44" t="s">
        <v>1</v>
      </c>
      <c r="C25" s="73">
        <f>+B4/B5*C23</f>
        <v>44464</v>
      </c>
      <c r="D25" s="73">
        <f>+B4/B5*D23</f>
        <v>0</v>
      </c>
      <c r="E25" s="73">
        <f>+C25</f>
        <v>44464</v>
      </c>
      <c r="F25" s="73">
        <f>+D25</f>
        <v>0</v>
      </c>
      <c r="G25" s="73">
        <f>+E25</f>
        <v>44464</v>
      </c>
      <c r="H25" s="72">
        <f>+F25</f>
        <v>0</v>
      </c>
      <c r="I25" s="57"/>
      <c r="J25" s="44" t="s">
        <v>1</v>
      </c>
      <c r="K25" s="73">
        <f>+C25</f>
        <v>44464</v>
      </c>
      <c r="L25" s="73">
        <f>+D25</f>
        <v>0</v>
      </c>
      <c r="M25" s="73">
        <f>+E25</f>
        <v>44464</v>
      </c>
      <c r="N25" s="73">
        <f>+F25</f>
        <v>0</v>
      </c>
      <c r="O25" s="73">
        <f>+M25</f>
        <v>44464</v>
      </c>
      <c r="P25" s="72">
        <f>+N25</f>
        <v>0</v>
      </c>
      <c r="Q25" s="57"/>
      <c r="R25" s="57"/>
      <c r="S25" s="57"/>
      <c r="T25" s="57"/>
      <c r="U25" s="57"/>
      <c r="V25" s="57"/>
    </row>
    <row r="26" spans="1:22">
      <c r="A26" s="3"/>
      <c r="B26" s="44"/>
      <c r="C26" s="73"/>
      <c r="D26" s="73"/>
      <c r="E26" s="73"/>
      <c r="F26" s="73"/>
      <c r="G26" s="73"/>
      <c r="H26" s="72"/>
      <c r="I26" s="57"/>
      <c r="J26" s="44"/>
      <c r="K26" s="73"/>
      <c r="L26" s="73"/>
      <c r="M26" s="73"/>
      <c r="N26" s="73"/>
      <c r="O26" s="73"/>
      <c r="P26" s="72"/>
      <c r="Q26" s="57"/>
      <c r="R26" s="57"/>
      <c r="S26" s="57"/>
      <c r="T26" s="57"/>
      <c r="U26" s="57"/>
      <c r="V26" s="57"/>
    </row>
    <row r="27" spans="1:22" hidden="1">
      <c r="A27" s="3"/>
      <c r="B27" s="69" t="s">
        <v>30</v>
      </c>
      <c r="C27" s="73">
        <f>+B11/$B$5*C23</f>
        <v>3517.8110698725191</v>
      </c>
      <c r="D27" s="73">
        <f>+B11/$B$5*D23</f>
        <v>0</v>
      </c>
      <c r="E27" s="73">
        <f>+C11/$B$5*E23</f>
        <v>3517.8110698725191</v>
      </c>
      <c r="F27" s="73">
        <f>+C11/$B$5*F23</f>
        <v>0</v>
      </c>
      <c r="G27" s="73">
        <f>+D11/$B$5*G23</f>
        <v>86356.322091334514</v>
      </c>
      <c r="H27" s="72">
        <f>+D11/$B$5*H23</f>
        <v>0</v>
      </c>
      <c r="I27" s="57"/>
      <c r="J27" s="44" t="s">
        <v>16</v>
      </c>
      <c r="K27" s="73">
        <f>+B11/$B$5*K23</f>
        <v>3517.8110698725191</v>
      </c>
      <c r="L27" s="73">
        <f>+B11/$B$5*L23</f>
        <v>0</v>
      </c>
      <c r="M27" s="73">
        <f>+C11/$B$5*M23</f>
        <v>3517.8110698725191</v>
      </c>
      <c r="N27" s="73">
        <f>+C11/$B$5*N23</f>
        <v>0</v>
      </c>
      <c r="O27" s="73">
        <f>+D11/$B$5*O23</f>
        <v>86356.322091334514</v>
      </c>
      <c r="P27" s="72">
        <f>+D11/$B$5*P23</f>
        <v>0</v>
      </c>
      <c r="Q27" s="57"/>
      <c r="R27" s="57"/>
      <c r="S27" s="57"/>
      <c r="T27" s="57"/>
      <c r="U27" s="57"/>
      <c r="V27" s="57"/>
    </row>
    <row r="28" spans="1:22" hidden="1">
      <c r="A28" s="3"/>
      <c r="B28" s="69" t="s">
        <v>99</v>
      </c>
      <c r="C28" s="73">
        <v>7000</v>
      </c>
      <c r="D28" s="73">
        <v>7000</v>
      </c>
      <c r="E28" s="73">
        <v>7000</v>
      </c>
      <c r="F28" s="73">
        <v>7000</v>
      </c>
      <c r="G28" s="73">
        <f>7000*25</f>
        <v>175000</v>
      </c>
      <c r="H28" s="72">
        <f>7000*25</f>
        <v>175000</v>
      </c>
      <c r="I28" s="57"/>
      <c r="J28" s="44" t="s">
        <v>18</v>
      </c>
      <c r="K28" s="73">
        <f>+B12/$B$5*K23</f>
        <v>-1428.742423753429</v>
      </c>
      <c r="L28" s="73">
        <f>+B12/$B$5*L23</f>
        <v>0</v>
      </c>
      <c r="M28" s="73">
        <f>+C12/$B$5*M23</f>
        <v>-1567.0795546232048</v>
      </c>
      <c r="N28" s="73">
        <f>+C12/$B$5*N23</f>
        <v>0</v>
      </c>
      <c r="O28" s="73">
        <f>+D12/$B$5*O23</f>
        <v>-36039.681652412459</v>
      </c>
      <c r="P28" s="72">
        <f>+D12/$B$5*P23</f>
        <v>0</v>
      </c>
      <c r="Q28" s="57"/>
      <c r="R28" s="57"/>
      <c r="S28" s="57"/>
      <c r="T28" s="57"/>
      <c r="U28" s="57"/>
      <c r="V28" s="57"/>
    </row>
    <row r="29" spans="1:22" hidden="1">
      <c r="A29" s="57"/>
      <c r="B29" s="4" t="s">
        <v>32</v>
      </c>
      <c r="C29" s="5">
        <f t="shared" ref="C29:H29" si="0">+C27-C28</f>
        <v>-3482.1889301274809</v>
      </c>
      <c r="D29" s="5">
        <f t="shared" si="0"/>
        <v>-7000</v>
      </c>
      <c r="E29" s="5">
        <f t="shared" si="0"/>
        <v>-3482.1889301274809</v>
      </c>
      <c r="F29" s="5">
        <f t="shared" si="0"/>
        <v>-7000</v>
      </c>
      <c r="G29" s="5">
        <f t="shared" si="0"/>
        <v>-88643.677908665486</v>
      </c>
      <c r="H29" s="6">
        <f t="shared" si="0"/>
        <v>-175000</v>
      </c>
      <c r="I29" s="57"/>
      <c r="J29" s="8" t="s">
        <v>20</v>
      </c>
      <c r="K29" s="5">
        <f t="shared" ref="K29:P29" si="1">SUM(K27:K28)</f>
        <v>2089.0686461190899</v>
      </c>
      <c r="L29" s="5">
        <f t="shared" si="1"/>
        <v>0</v>
      </c>
      <c r="M29" s="5">
        <f t="shared" si="1"/>
        <v>1950.7315152493143</v>
      </c>
      <c r="N29" s="5">
        <f t="shared" si="1"/>
        <v>0</v>
      </c>
      <c r="O29" s="5">
        <f t="shared" si="1"/>
        <v>50316.640438922055</v>
      </c>
      <c r="P29" s="6">
        <f t="shared" si="1"/>
        <v>0</v>
      </c>
      <c r="Q29" s="57"/>
      <c r="R29" s="57"/>
      <c r="S29" s="57"/>
      <c r="T29" s="57"/>
      <c r="U29" s="57"/>
      <c r="V29" s="57"/>
    </row>
    <row r="30" spans="1:22" hidden="1">
      <c r="A30" s="57"/>
      <c r="B30" s="69" t="s">
        <v>33</v>
      </c>
      <c r="C30" s="73">
        <f t="shared" ref="C30:H30" si="2">IF(C29&lt;0,0,C29*-0.4)</f>
        <v>0</v>
      </c>
      <c r="D30" s="73">
        <f t="shared" si="2"/>
        <v>0</v>
      </c>
      <c r="E30" s="73">
        <f t="shared" si="2"/>
        <v>0</v>
      </c>
      <c r="F30" s="73">
        <f t="shared" si="2"/>
        <v>0</v>
      </c>
      <c r="G30" s="73">
        <f t="shared" si="2"/>
        <v>0</v>
      </c>
      <c r="H30" s="72">
        <f t="shared" si="2"/>
        <v>0</v>
      </c>
      <c r="I30" s="57"/>
      <c r="J30" s="69" t="s">
        <v>34</v>
      </c>
      <c r="K30" s="73">
        <f>-K25*0.15</f>
        <v>-6669.5999999999995</v>
      </c>
      <c r="L30" s="73">
        <f>-L25*0.15</f>
        <v>0</v>
      </c>
      <c r="M30" s="73">
        <f>+V70</f>
        <v>-1950.7315152493143</v>
      </c>
      <c r="N30" s="73">
        <f>+W70</f>
        <v>0</v>
      </c>
      <c r="O30" s="73">
        <f>IF(O29&lt;0,0,-B4/B5*O23)</f>
        <v>-44464</v>
      </c>
      <c r="P30" s="72">
        <f>IF(P29&lt;0,0,-B4/B5*P23)</f>
        <v>0</v>
      </c>
      <c r="Q30" s="57"/>
      <c r="R30" s="57"/>
      <c r="S30" s="57"/>
      <c r="T30" s="57"/>
      <c r="U30" s="57"/>
      <c r="V30" s="57"/>
    </row>
    <row r="31" spans="1:22" hidden="1">
      <c r="A31" s="57"/>
      <c r="B31" s="4" t="s">
        <v>35</v>
      </c>
      <c r="C31" s="5">
        <f t="shared" ref="C31:H31" si="3">IF(C29+C30&lt;0,0,C29+C30)</f>
        <v>0</v>
      </c>
      <c r="D31" s="5">
        <f t="shared" si="3"/>
        <v>0</v>
      </c>
      <c r="E31" s="5">
        <f t="shared" si="3"/>
        <v>0</v>
      </c>
      <c r="F31" s="5">
        <f>IF(F29+F30&lt;0,0,F29+F30)</f>
        <v>0</v>
      </c>
      <c r="G31" s="5">
        <f t="shared" si="3"/>
        <v>0</v>
      </c>
      <c r="H31" s="6">
        <f t="shared" si="3"/>
        <v>0</v>
      </c>
      <c r="I31" s="3"/>
      <c r="J31" s="4" t="s">
        <v>35</v>
      </c>
      <c r="K31" s="9">
        <f>+K29+K30</f>
        <v>-4580.5313538809096</v>
      </c>
      <c r="L31" s="9">
        <f>+L29+L30</f>
        <v>0</v>
      </c>
      <c r="M31" s="9">
        <f>+M29+M30</f>
        <v>0</v>
      </c>
      <c r="N31" s="9">
        <f>+N29+N30</f>
        <v>0</v>
      </c>
      <c r="O31" s="5">
        <f>IF(O29+O30&lt;0,0,O29+O30)</f>
        <v>5852.6404389220552</v>
      </c>
      <c r="P31" s="6">
        <f>IF(P29+P30&lt;0,0,P29+P30)</f>
        <v>0</v>
      </c>
      <c r="Q31" s="57"/>
      <c r="R31" s="57"/>
      <c r="S31" s="57"/>
      <c r="T31" s="57"/>
      <c r="U31" s="57"/>
      <c r="V31" s="57"/>
    </row>
    <row r="32" spans="1:22" hidden="1">
      <c r="A32" s="57"/>
      <c r="B32" s="69" t="s">
        <v>36</v>
      </c>
      <c r="C32" s="90"/>
      <c r="D32" s="90"/>
      <c r="E32" s="90"/>
      <c r="F32" s="90"/>
      <c r="G32" s="90"/>
      <c r="H32" s="76"/>
      <c r="I32" s="57"/>
      <c r="J32" s="69" t="s">
        <v>36</v>
      </c>
      <c r="K32" s="73"/>
      <c r="L32" s="73"/>
      <c r="M32" s="73"/>
      <c r="N32" s="73"/>
      <c r="O32" s="90"/>
      <c r="P32" s="76"/>
      <c r="Q32" s="57"/>
      <c r="R32" s="57"/>
      <c r="S32" s="57"/>
      <c r="T32" s="57"/>
      <c r="U32" s="57"/>
      <c r="V32" s="57"/>
    </row>
    <row r="33" spans="1:22" hidden="1">
      <c r="A33" s="57"/>
      <c r="B33" s="69" t="s">
        <v>37</v>
      </c>
      <c r="C33" s="73"/>
      <c r="D33" s="73"/>
      <c r="E33" s="73"/>
      <c r="F33" s="73"/>
      <c r="G33" s="73"/>
      <c r="H33" s="72"/>
      <c r="I33" s="3"/>
      <c r="J33" s="69" t="s">
        <v>37</v>
      </c>
      <c r="K33" s="73"/>
      <c r="L33" s="73"/>
      <c r="M33" s="73"/>
      <c r="N33" s="73"/>
      <c r="O33" s="73"/>
      <c r="P33" s="72"/>
      <c r="Q33" s="57"/>
      <c r="R33" s="57"/>
      <c r="S33" s="57"/>
      <c r="T33" s="57"/>
      <c r="U33" s="57"/>
      <c r="V33" s="57"/>
    </row>
    <row r="34" spans="1:22" hidden="1">
      <c r="A34" s="57"/>
      <c r="B34" s="12">
        <v>0.375</v>
      </c>
      <c r="C34" s="73">
        <f>+C31*B34</f>
        <v>0</v>
      </c>
      <c r="D34" s="73">
        <f>+D31*B34</f>
        <v>0</v>
      </c>
      <c r="E34" s="73">
        <f>+E31*B34</f>
        <v>0</v>
      </c>
      <c r="F34" s="73">
        <f>+F31*B34</f>
        <v>0</v>
      </c>
      <c r="G34" s="73">
        <f>+G31*B34</f>
        <v>0</v>
      </c>
      <c r="H34" s="72">
        <f>+H31*B34</f>
        <v>0</v>
      </c>
      <c r="I34" s="57"/>
      <c r="J34" s="12">
        <v>0.375</v>
      </c>
      <c r="K34" s="73">
        <f>IF(K31&lt;0,0,K31*J34)</f>
        <v>0</v>
      </c>
      <c r="L34" s="73">
        <f>IF(L31&lt;0,0,L31*J34)</f>
        <v>0</v>
      </c>
      <c r="M34" s="73">
        <f>+M31*J34</f>
        <v>0</v>
      </c>
      <c r="N34" s="73">
        <f>+N31*J34</f>
        <v>0</v>
      </c>
      <c r="O34" s="73">
        <f>+O31*J34</f>
        <v>2194.7401645957707</v>
      </c>
      <c r="P34" s="72">
        <f>+P31*J34</f>
        <v>0</v>
      </c>
      <c r="Q34" s="57"/>
      <c r="R34" s="57"/>
      <c r="S34" s="57"/>
      <c r="T34" s="57"/>
      <c r="U34" s="57"/>
      <c r="V34" s="57"/>
    </row>
    <row r="35" spans="1:22" hidden="1">
      <c r="A35" s="57"/>
      <c r="B35" s="12">
        <v>0.42</v>
      </c>
      <c r="C35" s="73">
        <f>+C31*B35</f>
        <v>0</v>
      </c>
      <c r="D35" s="73">
        <f>+D31*B35</f>
        <v>0</v>
      </c>
      <c r="E35" s="73">
        <f>+E31*B35</f>
        <v>0</v>
      </c>
      <c r="F35" s="73">
        <f>+F31*B35</f>
        <v>0</v>
      </c>
      <c r="G35" s="73">
        <f>+G31*B35</f>
        <v>0</v>
      </c>
      <c r="H35" s="72">
        <f>+H31*B35</f>
        <v>0</v>
      </c>
      <c r="I35" s="57"/>
      <c r="J35" s="12">
        <v>0.42</v>
      </c>
      <c r="K35" s="73">
        <f>IF(K31&lt;0,0,K31*J35)</f>
        <v>0</v>
      </c>
      <c r="L35" s="73">
        <f>IF(L31&lt;0,0,L31*J35)</f>
        <v>0</v>
      </c>
      <c r="M35" s="73">
        <f>+M31*J35</f>
        <v>0</v>
      </c>
      <c r="N35" s="73">
        <f>+N31*J35</f>
        <v>0</v>
      </c>
      <c r="O35" s="73">
        <f>+O31*J35</f>
        <v>2458.1089843472632</v>
      </c>
      <c r="P35" s="72">
        <f>+P31*J35</f>
        <v>0</v>
      </c>
      <c r="Q35" s="57"/>
      <c r="R35" s="57"/>
      <c r="S35" s="57"/>
      <c r="T35" s="57"/>
      <c r="U35" s="57"/>
      <c r="V35" s="57"/>
    </row>
    <row r="36" spans="1:22" hidden="1">
      <c r="A36" s="57"/>
      <c r="B36" s="7"/>
      <c r="C36" s="73"/>
      <c r="D36" s="73"/>
      <c r="E36" s="73"/>
      <c r="F36" s="73"/>
      <c r="G36" s="73"/>
      <c r="H36" s="72"/>
      <c r="I36" s="57"/>
      <c r="J36" s="7"/>
      <c r="K36" s="73"/>
      <c r="L36" s="73"/>
      <c r="M36" s="73"/>
      <c r="N36" s="73"/>
      <c r="O36" s="73"/>
      <c r="P36" s="72"/>
      <c r="Q36" s="57"/>
      <c r="R36" s="57"/>
      <c r="S36" s="57"/>
      <c r="T36" s="57"/>
      <c r="U36" s="57"/>
      <c r="V36" s="57"/>
    </row>
    <row r="37" spans="1:22" hidden="1">
      <c r="A37" s="57"/>
      <c r="B37" s="44" t="s">
        <v>100</v>
      </c>
      <c r="C37" s="73">
        <f>+B16/B5*C23</f>
        <v>310.50864611908986</v>
      </c>
      <c r="D37" s="73">
        <f>+B16/B5*D23</f>
        <v>0</v>
      </c>
      <c r="E37" s="73">
        <f>+C16/B5*E23</f>
        <v>172.17151524931413</v>
      </c>
      <c r="F37" s="73">
        <f>+C16/B5*F23</f>
        <v>0</v>
      </c>
      <c r="G37" s="73">
        <f>+D16/B5*G23</f>
        <v>5852.6404389220588</v>
      </c>
      <c r="H37" s="72">
        <f>+D16/B5*H23</f>
        <v>0</v>
      </c>
      <c r="I37" s="57"/>
      <c r="J37" s="44" t="s">
        <v>100</v>
      </c>
      <c r="K37" s="73">
        <f>+B16/B5*K23</f>
        <v>310.50864611908986</v>
      </c>
      <c r="L37" s="73">
        <f>+B16/B5*L23</f>
        <v>0</v>
      </c>
      <c r="M37" s="73">
        <f>+C16/B5*M23</f>
        <v>172.17151524931413</v>
      </c>
      <c r="N37" s="73">
        <f>+C16/B5*N23</f>
        <v>0</v>
      </c>
      <c r="O37" s="73">
        <f>+D16/B5*O23</f>
        <v>5852.6404389220588</v>
      </c>
      <c r="P37" s="72">
        <f>+D16/B5*P23</f>
        <v>0</v>
      </c>
      <c r="Q37" s="57"/>
      <c r="R37" s="57"/>
      <c r="S37" s="57"/>
      <c r="T37" s="57"/>
      <c r="U37" s="57"/>
      <c r="V37" s="57"/>
    </row>
    <row r="38" spans="1:22" hidden="1">
      <c r="A38" s="57"/>
      <c r="B38" s="44"/>
      <c r="C38" s="73"/>
      <c r="D38" s="73"/>
      <c r="E38" s="73"/>
      <c r="F38" s="73"/>
      <c r="G38" s="73"/>
      <c r="H38" s="72"/>
      <c r="I38" s="57"/>
      <c r="J38" s="44"/>
      <c r="K38" s="73"/>
      <c r="L38" s="73"/>
      <c r="M38" s="73"/>
      <c r="N38" s="73"/>
      <c r="O38" s="73"/>
      <c r="P38" s="72"/>
      <c r="Q38" s="57"/>
      <c r="R38" s="57"/>
      <c r="S38" s="57"/>
      <c r="T38" s="57"/>
      <c r="U38" s="57"/>
      <c r="V38" s="57"/>
    </row>
    <row r="39" spans="1:22" hidden="1">
      <c r="A39" s="57"/>
      <c r="B39" s="44" t="s">
        <v>101</v>
      </c>
      <c r="C39" s="81">
        <f>+C34/C37</f>
        <v>0</v>
      </c>
      <c r="D39" s="81" t="e">
        <f t="shared" ref="D39:H39" si="4">+D34/D37</f>
        <v>#DIV/0!</v>
      </c>
      <c r="E39" s="81">
        <f t="shared" si="4"/>
        <v>0</v>
      </c>
      <c r="F39" s="91" t="e">
        <f t="shared" si="4"/>
        <v>#DIV/0!</v>
      </c>
      <c r="G39" s="81">
        <f t="shared" si="4"/>
        <v>0</v>
      </c>
      <c r="H39" s="80" t="e">
        <f t="shared" si="4"/>
        <v>#DIV/0!</v>
      </c>
      <c r="I39" s="57"/>
      <c r="J39" s="44" t="s">
        <v>101</v>
      </c>
      <c r="K39" s="81">
        <f t="shared" ref="K39:P39" si="5">+K34/K37</f>
        <v>0</v>
      </c>
      <c r="L39" s="81" t="e">
        <f t="shared" si="5"/>
        <v>#DIV/0!</v>
      </c>
      <c r="M39" s="81">
        <f t="shared" si="5"/>
        <v>0</v>
      </c>
      <c r="N39" s="81" t="e">
        <f t="shared" si="5"/>
        <v>#DIV/0!</v>
      </c>
      <c r="O39" s="81">
        <f t="shared" si="5"/>
        <v>0.37499999999999978</v>
      </c>
      <c r="P39" s="92" t="e">
        <f t="shared" si="5"/>
        <v>#DIV/0!</v>
      </c>
      <c r="Q39" s="57"/>
      <c r="R39" s="57"/>
      <c r="S39" s="57"/>
      <c r="T39" s="57"/>
      <c r="U39" s="57"/>
      <c r="V39" s="57"/>
    </row>
    <row r="40" spans="1:22" hidden="1">
      <c r="A40" s="57"/>
      <c r="B40" s="44" t="s">
        <v>102</v>
      </c>
      <c r="C40" s="81">
        <f>+C35/C37</f>
        <v>0</v>
      </c>
      <c r="D40" s="81" t="e">
        <f t="shared" ref="D40:H40" si="6">+D35/D37</f>
        <v>#DIV/0!</v>
      </c>
      <c r="E40" s="81">
        <f t="shared" si="6"/>
        <v>0</v>
      </c>
      <c r="F40" s="91" t="e">
        <f t="shared" si="6"/>
        <v>#DIV/0!</v>
      </c>
      <c r="G40" s="81">
        <f t="shared" si="6"/>
        <v>0</v>
      </c>
      <c r="H40" s="80" t="e">
        <f t="shared" si="6"/>
        <v>#DIV/0!</v>
      </c>
      <c r="I40" s="57"/>
      <c r="J40" s="44" t="s">
        <v>102</v>
      </c>
      <c r="K40" s="81">
        <f t="shared" ref="K40:P40" si="7">+K35/K37</f>
        <v>0</v>
      </c>
      <c r="L40" s="81" t="e">
        <f t="shared" si="7"/>
        <v>#DIV/0!</v>
      </c>
      <c r="M40" s="81">
        <f t="shared" si="7"/>
        <v>0</v>
      </c>
      <c r="N40" s="81" t="e">
        <f t="shared" si="7"/>
        <v>#DIV/0!</v>
      </c>
      <c r="O40" s="81">
        <f t="shared" si="7"/>
        <v>0.41999999999999976</v>
      </c>
      <c r="P40" s="93" t="e">
        <f t="shared" si="7"/>
        <v>#DIV/0!</v>
      </c>
      <c r="Q40" s="57"/>
      <c r="R40" s="57"/>
      <c r="S40" s="57"/>
      <c r="T40" s="57"/>
      <c r="U40" s="57"/>
      <c r="V40" s="57"/>
    </row>
    <row r="41" spans="1:22" ht="15" hidden="1" thickBot="1">
      <c r="A41" s="57"/>
      <c r="B41" s="82"/>
      <c r="C41" s="87"/>
      <c r="D41" s="87"/>
      <c r="E41" s="94"/>
      <c r="F41" s="87"/>
      <c r="G41" s="87"/>
      <c r="H41" s="86"/>
      <c r="I41" s="57"/>
      <c r="J41" s="82"/>
      <c r="K41" s="87"/>
      <c r="L41" s="87"/>
      <c r="M41" s="87"/>
      <c r="N41" s="87"/>
      <c r="O41" s="87"/>
      <c r="P41" s="88"/>
      <c r="Q41" s="57"/>
      <c r="R41" s="57"/>
      <c r="S41" s="57"/>
      <c r="T41" s="57"/>
      <c r="U41" s="57"/>
      <c r="V41" s="57"/>
    </row>
    <row r="42" spans="1:22" hidden="1">
      <c r="A42" s="57"/>
      <c r="B42" s="56"/>
      <c r="C42" s="57"/>
      <c r="D42" s="57"/>
      <c r="E42" s="56"/>
      <c r="F42" s="56"/>
      <c r="G42" s="56"/>
      <c r="H42" s="56"/>
      <c r="I42" s="57"/>
      <c r="J42" s="57"/>
      <c r="K42" s="57"/>
      <c r="L42" s="57"/>
      <c r="M42" s="57"/>
      <c r="N42" s="57"/>
      <c r="O42" s="57"/>
      <c r="P42" s="56"/>
      <c r="Q42" s="57"/>
      <c r="R42" s="57"/>
      <c r="S42" s="57"/>
      <c r="T42" s="57"/>
      <c r="U42" s="57"/>
      <c r="V42" s="57"/>
    </row>
    <row r="43" spans="1:22" hidden="1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6"/>
      <c r="Q43" s="57"/>
      <c r="R43" s="57"/>
      <c r="S43" s="57"/>
      <c r="T43" s="57"/>
      <c r="U43" s="57"/>
      <c r="V43" s="57"/>
    </row>
    <row r="44" spans="1:22" hidden="1">
      <c r="A44" s="3" t="s">
        <v>51</v>
      </c>
      <c r="B44" s="57" t="s">
        <v>52</v>
      </c>
      <c r="C44" s="57"/>
      <c r="D44" s="57"/>
      <c r="E44" s="57"/>
      <c r="F44" s="57"/>
      <c r="G44" s="57"/>
      <c r="H44" s="57"/>
      <c r="I44" s="57"/>
      <c r="J44" s="57" t="s">
        <v>53</v>
      </c>
      <c r="K44" s="57"/>
      <c r="L44" s="57"/>
      <c r="M44" s="57"/>
      <c r="N44" s="57"/>
      <c r="O44" s="57"/>
      <c r="P44" s="56"/>
      <c r="Q44" s="57"/>
      <c r="R44" s="57"/>
      <c r="S44" s="57"/>
      <c r="T44" s="57"/>
      <c r="U44" s="57"/>
      <c r="V44" s="57"/>
    </row>
    <row r="45" spans="1:22" hidden="1">
      <c r="A45" s="3" t="s">
        <v>54</v>
      </c>
      <c r="B45" s="57" t="s">
        <v>55</v>
      </c>
      <c r="C45" s="57"/>
      <c r="D45" s="57"/>
      <c r="E45" s="57"/>
      <c r="F45" s="57"/>
      <c r="G45" s="57"/>
      <c r="H45" s="57"/>
      <c r="I45" s="57"/>
      <c r="J45" s="57" t="s">
        <v>55</v>
      </c>
      <c r="K45" s="57"/>
      <c r="L45" s="57"/>
      <c r="M45" s="57"/>
      <c r="N45" s="57"/>
      <c r="O45" s="57"/>
      <c r="P45" s="56"/>
      <c r="Q45" s="57"/>
      <c r="R45" s="57"/>
      <c r="S45" s="57"/>
      <c r="T45" s="57"/>
      <c r="U45" s="57"/>
      <c r="V45" s="57"/>
    </row>
    <row r="46" spans="1:22" hidden="1">
      <c r="A46" s="3" t="s">
        <v>56</v>
      </c>
      <c r="B46" s="57" t="s">
        <v>57</v>
      </c>
      <c r="C46" s="57"/>
      <c r="D46" s="57"/>
      <c r="E46" s="57"/>
      <c r="F46" s="57"/>
      <c r="G46" s="57"/>
      <c r="H46" s="57"/>
      <c r="I46" s="57"/>
      <c r="J46" s="57" t="s">
        <v>57</v>
      </c>
      <c r="K46" s="57"/>
      <c r="L46" s="57"/>
      <c r="M46" s="57"/>
      <c r="N46" s="57"/>
      <c r="O46" s="57"/>
      <c r="P46" s="56"/>
      <c r="Q46" s="57"/>
      <c r="R46" s="57"/>
      <c r="S46" s="57"/>
      <c r="T46" s="57"/>
      <c r="U46" s="57"/>
      <c r="V46" s="57"/>
    </row>
    <row r="47" spans="1:22" hidden="1">
      <c r="A47" s="3" t="s">
        <v>58</v>
      </c>
      <c r="B47" s="57" t="s">
        <v>103</v>
      </c>
      <c r="C47" s="57"/>
      <c r="D47" s="57"/>
      <c r="E47" s="57"/>
      <c r="F47" s="57"/>
      <c r="G47" s="57"/>
      <c r="H47" s="57"/>
      <c r="I47" s="57"/>
      <c r="J47" s="57" t="s">
        <v>60</v>
      </c>
      <c r="K47" s="57"/>
      <c r="L47" s="57"/>
      <c r="M47" s="57"/>
      <c r="N47" s="57"/>
      <c r="O47" s="57"/>
      <c r="P47" s="56"/>
      <c r="Q47" s="57"/>
      <c r="R47" s="57"/>
      <c r="S47" s="57"/>
      <c r="T47" s="57"/>
      <c r="U47" s="57"/>
      <c r="V47" s="57"/>
    </row>
    <row r="48" spans="1:22" hidden="1">
      <c r="A48" s="56"/>
      <c r="B48" s="57" t="s">
        <v>61</v>
      </c>
      <c r="C48" s="57"/>
      <c r="D48" s="57"/>
      <c r="E48" s="57"/>
      <c r="F48" s="57"/>
      <c r="G48" s="57"/>
      <c r="H48" s="57"/>
      <c r="I48" s="57"/>
      <c r="J48" s="57" t="s">
        <v>62</v>
      </c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</row>
    <row r="49" spans="1:33" hidden="1">
      <c r="A49" s="2" t="s">
        <v>63</v>
      </c>
      <c r="B49" s="57" t="s">
        <v>64</v>
      </c>
      <c r="C49" s="57"/>
      <c r="D49" s="57"/>
      <c r="E49" s="57"/>
      <c r="F49" s="57"/>
      <c r="G49" s="57"/>
      <c r="H49" s="57"/>
      <c r="I49" s="57"/>
      <c r="J49" s="57" t="s">
        <v>65</v>
      </c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</row>
    <row r="50" spans="1:33">
      <c r="A50" s="2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</row>
    <row r="51" spans="1:33">
      <c r="A51" s="2"/>
      <c r="B51" s="53" t="s">
        <v>104</v>
      </c>
      <c r="C51" s="53"/>
      <c r="D51" s="57"/>
      <c r="E51" s="57"/>
      <c r="F51" s="57"/>
      <c r="G51" s="57"/>
      <c r="H51" s="57"/>
      <c r="I51" s="57"/>
      <c r="J51" s="53" t="s">
        <v>105</v>
      </c>
      <c r="K51" s="53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</row>
    <row r="52" spans="1:33">
      <c r="A52" s="2"/>
      <c r="B52" s="57" t="s">
        <v>1</v>
      </c>
      <c r="C52" s="57">
        <f>+C25</f>
        <v>44464</v>
      </c>
      <c r="D52" s="57"/>
      <c r="E52" s="57"/>
      <c r="F52" s="57"/>
      <c r="G52" s="57"/>
      <c r="H52" s="57"/>
      <c r="I52" s="57"/>
      <c r="J52" s="57" t="s">
        <v>1</v>
      </c>
      <c r="K52" s="57">
        <f>+K25</f>
        <v>44464</v>
      </c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</row>
    <row r="53" spans="1:33">
      <c r="A53" s="2"/>
      <c r="B53" s="57" t="s">
        <v>106</v>
      </c>
      <c r="C53" s="27">
        <v>0</v>
      </c>
      <c r="D53" s="57"/>
      <c r="E53" s="57"/>
      <c r="F53" s="57"/>
      <c r="G53" s="57"/>
      <c r="H53" s="57"/>
      <c r="I53" s="57"/>
      <c r="J53" s="57" t="s">
        <v>106</v>
      </c>
      <c r="K53" s="29">
        <f>+C53</f>
        <v>0</v>
      </c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</row>
    <row r="54" spans="1:33">
      <c r="A54" s="2"/>
      <c r="B54" s="57" t="s">
        <v>107</v>
      </c>
      <c r="C54" s="25">
        <v>16</v>
      </c>
      <c r="D54" s="57"/>
      <c r="E54" s="57"/>
      <c r="F54" s="57"/>
      <c r="G54" s="57"/>
      <c r="H54" s="57"/>
      <c r="I54" s="57"/>
      <c r="J54" s="57" t="s">
        <v>107</v>
      </c>
      <c r="K54" s="26">
        <f>+C54</f>
        <v>16</v>
      </c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</row>
    <row r="55" spans="1:33">
      <c r="A55" s="2"/>
      <c r="B55" s="57" t="s">
        <v>108</v>
      </c>
      <c r="C55" s="32">
        <v>0.03</v>
      </c>
      <c r="D55" s="57"/>
      <c r="E55" s="57"/>
      <c r="F55" s="57"/>
      <c r="G55" s="57"/>
      <c r="H55" s="57"/>
      <c r="I55" s="57"/>
      <c r="J55" s="57" t="s">
        <v>108</v>
      </c>
      <c r="K55" s="33">
        <f>+C55</f>
        <v>0.03</v>
      </c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</row>
    <row r="56" spans="1:33">
      <c r="A56" s="2"/>
      <c r="B56" s="95"/>
      <c r="C56" s="34"/>
      <c r="D56" s="95"/>
      <c r="E56" s="95"/>
      <c r="F56" s="95"/>
      <c r="G56" s="95"/>
      <c r="H56" s="95"/>
      <c r="I56" s="95"/>
      <c r="J56" s="95"/>
      <c r="K56" s="33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</row>
    <row r="57" spans="1:33">
      <c r="A57" s="56"/>
      <c r="B57" s="56"/>
      <c r="C57" s="56"/>
      <c r="D57" s="57"/>
      <c r="E57" s="30">
        <v>0.42899999999999999</v>
      </c>
      <c r="F57" s="30">
        <v>0.28599999999999998</v>
      </c>
      <c r="G57" s="57"/>
      <c r="H57" s="57"/>
      <c r="I57" s="57"/>
      <c r="J57" s="13"/>
      <c r="K57" s="13"/>
      <c r="L57" s="30"/>
      <c r="M57" s="30">
        <v>0.42899999999999999</v>
      </c>
      <c r="N57" s="30">
        <v>0.28599999999999998</v>
      </c>
      <c r="O57" s="13"/>
      <c r="P57" s="13"/>
      <c r="Q57" s="13"/>
      <c r="R57" s="57"/>
      <c r="S57" s="57"/>
      <c r="T57" s="57"/>
      <c r="U57" s="57"/>
      <c r="V57" s="57"/>
      <c r="W57" s="56"/>
      <c r="X57" s="56"/>
      <c r="Y57" s="52" t="s">
        <v>109</v>
      </c>
      <c r="Z57" s="52"/>
      <c r="AA57" s="52"/>
      <c r="AB57" s="52"/>
      <c r="AC57" s="52"/>
      <c r="AD57" s="52"/>
      <c r="AE57" s="52"/>
      <c r="AF57" s="52"/>
      <c r="AG57" s="56"/>
    </row>
    <row r="58" spans="1:33">
      <c r="A58" s="56"/>
      <c r="B58" s="3" t="s">
        <v>110</v>
      </c>
      <c r="C58" s="24" t="s">
        <v>108</v>
      </c>
      <c r="D58" s="10" t="s">
        <v>111</v>
      </c>
      <c r="E58" s="24" t="s">
        <v>112</v>
      </c>
      <c r="F58" s="10" t="s">
        <v>113</v>
      </c>
      <c r="G58" s="24" t="s">
        <v>114</v>
      </c>
      <c r="H58" s="57"/>
      <c r="I58" s="57"/>
      <c r="J58" s="3" t="s">
        <v>110</v>
      </c>
      <c r="K58" s="24" t="s">
        <v>108</v>
      </c>
      <c r="L58" s="10" t="s">
        <v>111</v>
      </c>
      <c r="M58" s="24" t="s">
        <v>112</v>
      </c>
      <c r="N58" s="10" t="s">
        <v>113</v>
      </c>
      <c r="O58" s="24" t="s">
        <v>114</v>
      </c>
      <c r="P58" s="56"/>
      <c r="Q58" s="56"/>
      <c r="R58" s="13"/>
      <c r="S58" s="13"/>
      <c r="T58" s="20">
        <f>+T60-T59</f>
        <v>-6669.5999999999985</v>
      </c>
      <c r="U58" s="20">
        <f>+U60-U59</f>
        <v>0</v>
      </c>
      <c r="V58" s="22" t="s">
        <v>66</v>
      </c>
      <c r="W58" s="22" t="s">
        <v>66</v>
      </c>
      <c r="X58" s="13"/>
      <c r="Y58" s="57" t="s">
        <v>66</v>
      </c>
      <c r="Z58" s="57"/>
      <c r="AA58" s="57"/>
      <c r="AB58" s="56"/>
      <c r="AC58" s="56"/>
      <c r="AD58" s="56"/>
      <c r="AE58" s="56" t="s">
        <v>115</v>
      </c>
      <c r="AF58" s="56" t="s">
        <v>116</v>
      </c>
      <c r="AG58" s="10" t="s">
        <v>117</v>
      </c>
    </row>
    <row r="59" spans="1:33">
      <c r="A59" s="56"/>
      <c r="B59" s="89" t="str">
        <f>+J59</f>
        <v>år 0</v>
      </c>
      <c r="C59" s="57"/>
      <c r="D59" s="57"/>
      <c r="E59" s="57"/>
      <c r="F59" s="56"/>
      <c r="G59" s="57">
        <f>-C52*(1-C53)</f>
        <v>-44464</v>
      </c>
      <c r="H59" s="57"/>
      <c r="I59" s="57"/>
      <c r="J59" s="13" t="s">
        <v>67</v>
      </c>
      <c r="K59" s="57"/>
      <c r="L59" s="57"/>
      <c r="M59" s="57"/>
      <c r="N59" s="56"/>
      <c r="O59" s="57">
        <f>-K52*(1-K53)</f>
        <v>-44464</v>
      </c>
      <c r="P59" s="56"/>
      <c r="Q59" s="56"/>
      <c r="R59" s="28" t="s">
        <v>68</v>
      </c>
      <c r="S59" s="28" t="s">
        <v>69</v>
      </c>
      <c r="T59" s="19">
        <f>+M25</f>
        <v>44464</v>
      </c>
      <c r="U59" s="13">
        <f>+N25</f>
        <v>0</v>
      </c>
      <c r="V59" s="21">
        <f>+M23</f>
        <v>16</v>
      </c>
      <c r="W59" s="19">
        <f>+N23</f>
        <v>0</v>
      </c>
      <c r="X59" s="13"/>
      <c r="Y59" s="57" t="s">
        <v>20</v>
      </c>
      <c r="Z59" s="57" t="s">
        <v>118</v>
      </c>
      <c r="AA59" s="57"/>
      <c r="AB59" s="56" t="s">
        <v>115</v>
      </c>
      <c r="AC59" s="2" t="s">
        <v>119</v>
      </c>
      <c r="AD59" s="56"/>
      <c r="AE59" s="56"/>
      <c r="AF59" s="56"/>
      <c r="AG59" s="56"/>
    </row>
    <row r="60" spans="1:33">
      <c r="A60" s="56"/>
      <c r="B60" s="89" t="str">
        <f>+J60</f>
        <v>år 1</v>
      </c>
      <c r="C60" s="57">
        <f>+G59*$B$7</f>
        <v>-1333.9199999999998</v>
      </c>
      <c r="D60" s="57">
        <f t="shared" ref="D60:D69" si="8">+(R60-S60)/$B$5*$C$54</f>
        <v>1975.1492657737615</v>
      </c>
      <c r="E60" s="89">
        <f>IF((R60/$B$5*$C$54-7000)&gt;0,(R60/$B$5*$C$54-7000)*0.6*-$E$57,0)</f>
        <v>0</v>
      </c>
      <c r="F60" s="57">
        <f>-C60*$F$57</f>
        <v>381.5011199999999</v>
      </c>
      <c r="G60" s="89">
        <f>+G59+C60+D60+E60+F60</f>
        <v>-43441.269614226236</v>
      </c>
      <c r="H60" s="57"/>
      <c r="I60" s="57"/>
      <c r="J60" s="13" t="s">
        <v>70</v>
      </c>
      <c r="K60" s="57">
        <f>+O59*$B$7</f>
        <v>-1333.9199999999998</v>
      </c>
      <c r="L60" s="57">
        <f t="shared" ref="L60:L74" si="9">+(R60-S60)/$B$5*$K$54</f>
        <v>1975.1492657737615</v>
      </c>
      <c r="M60" s="89">
        <f t="shared" ref="M60:M71" si="10">+AC60*-$M$57</f>
        <v>0</v>
      </c>
      <c r="N60" s="57">
        <f t="shared" ref="N60:N66" si="11">-K60*$N$57</f>
        <v>381.5011199999999</v>
      </c>
      <c r="O60" s="89">
        <f>+O59+K60+L60+M60+N60</f>
        <v>-43441.269614226236</v>
      </c>
      <c r="P60" s="56"/>
      <c r="Q60" s="56">
        <v>1</v>
      </c>
      <c r="R60" s="13">
        <v>8500000</v>
      </c>
      <c r="S60" s="13">
        <v>850000</v>
      </c>
      <c r="T60" s="13">
        <f t="shared" ref="T60:T69" si="12">+T59*0.85</f>
        <v>37794.400000000001</v>
      </c>
      <c r="U60" s="13">
        <f t="shared" ref="U60:U63" si="13">+U59*0.85</f>
        <v>0</v>
      </c>
      <c r="V60" s="13">
        <f t="shared" ref="V60:V67" si="14">+(R60-S60)/$B$5*$M$23+T60-T59</f>
        <v>-4694.4507342262368</v>
      </c>
      <c r="W60" s="13">
        <f t="shared" ref="W60:W67" si="15">+(R60-S60)/$B$5*$N$23+U60-U59</f>
        <v>0</v>
      </c>
      <c r="X60" s="13"/>
      <c r="Y60" s="57">
        <f>+L60</f>
        <v>1975.1492657737615</v>
      </c>
      <c r="Z60" s="57">
        <f t="shared" ref="Z60:Z84" si="16">-T59+T60</f>
        <v>-6669.5999999999985</v>
      </c>
      <c r="AA60" s="57">
        <f>+Y60+Z60</f>
        <v>-4694.4507342262368</v>
      </c>
      <c r="AB60" s="89">
        <f>-AE60-AF60</f>
        <v>4694.4507342262368</v>
      </c>
      <c r="AC60" s="21">
        <f>+AA60+AB60</f>
        <v>0</v>
      </c>
      <c r="AD60" s="56"/>
      <c r="AE60" s="57">
        <f t="shared" ref="AE60:AE67" si="17">IF(AA60&lt;0,AA60,0)</f>
        <v>-4694.4507342262368</v>
      </c>
      <c r="AF60" s="89">
        <f>IF(AA60&gt;0,IF(AG59&lt;AA60,AA60,AG59),0)</f>
        <v>0</v>
      </c>
      <c r="AG60" s="89">
        <f t="shared" ref="AG60:AG70" si="18">+AF60+AG59+AE60</f>
        <v>-4694.4507342262368</v>
      </c>
    </row>
    <row r="61" spans="1:33">
      <c r="A61" s="56"/>
      <c r="B61" s="89" t="str">
        <f t="shared" ref="B61:B84" si="19">+J61</f>
        <v>år 2</v>
      </c>
      <c r="C61" s="57">
        <f>+G60*$B$7</f>
        <v>-1303.238088426787</v>
      </c>
      <c r="D61" s="57">
        <f t="shared" si="8"/>
        <v>1903.2435049217363</v>
      </c>
      <c r="E61" s="89">
        <f>IF((R61/$B$5*$C$54-7000)&gt;0,(R61/$B$5*$C$54-7000)*0.6*-$E$57,0)</f>
        <v>0</v>
      </c>
      <c r="F61" s="57">
        <f>-C61*$F$57</f>
        <v>372.72609329006104</v>
      </c>
      <c r="G61" s="89">
        <f t="shared" ref="G61:G71" si="20">+G60+C61+D61+E61+F61</f>
        <v>-42468.538104441221</v>
      </c>
      <c r="H61" s="57"/>
      <c r="I61" s="57"/>
      <c r="J61" s="13" t="s">
        <v>71</v>
      </c>
      <c r="K61" s="57">
        <f t="shared" ref="K61:K79" si="21">+O60*$B$7</f>
        <v>-1303.238088426787</v>
      </c>
      <c r="L61" s="57">
        <f>+(R61-S61)/$B$5*$K$54</f>
        <v>1903.2435049217363</v>
      </c>
      <c r="M61" s="89">
        <f t="shared" si="10"/>
        <v>0</v>
      </c>
      <c r="N61" s="57">
        <f t="shared" si="11"/>
        <v>372.72609329006104</v>
      </c>
      <c r="O61" s="89">
        <f t="shared" ref="O61:O71" si="22">+O60+K61+L61+M61+N61</f>
        <v>-42468.538104441221</v>
      </c>
      <c r="P61" s="56"/>
      <c r="Q61" s="56">
        <v>2</v>
      </c>
      <c r="R61" s="13">
        <f>+R60*1.005</f>
        <v>8542500</v>
      </c>
      <c r="S61" s="13">
        <v>1171000</v>
      </c>
      <c r="T61" s="13">
        <f t="shared" si="12"/>
        <v>32125.24</v>
      </c>
      <c r="U61" s="13">
        <f t="shared" si="13"/>
        <v>0</v>
      </c>
      <c r="V61" s="13">
        <f t="shared" si="14"/>
        <v>-3765.9164950782651</v>
      </c>
      <c r="W61" s="13">
        <f t="shared" si="15"/>
        <v>0</v>
      </c>
      <c r="X61" s="13"/>
      <c r="Y61" s="57">
        <f>+L61</f>
        <v>1903.2435049217363</v>
      </c>
      <c r="Z61" s="57">
        <f t="shared" si="16"/>
        <v>-5669.16</v>
      </c>
      <c r="AA61" s="57">
        <f>+Y61+Z61</f>
        <v>-3765.9164950782633</v>
      </c>
      <c r="AB61" s="89">
        <f>-AE61-AF61</f>
        <v>3765.9164950782633</v>
      </c>
      <c r="AC61" s="21">
        <f t="shared" ref="AC61:AC79" si="23">+AA61+AB61</f>
        <v>0</v>
      </c>
      <c r="AD61" s="56"/>
      <c r="AE61" s="57">
        <f t="shared" si="17"/>
        <v>-3765.9164950782633</v>
      </c>
      <c r="AF61" s="89">
        <f>IF(AA61&gt;0,IF(AG60&lt;AA61,AA61,AG60),0)</f>
        <v>0</v>
      </c>
      <c r="AG61" s="89">
        <f t="shared" si="18"/>
        <v>-8460.3672293045001</v>
      </c>
    </row>
    <row r="62" spans="1:33">
      <c r="A62" s="56"/>
      <c r="B62" s="89" t="str">
        <f t="shared" si="19"/>
        <v>år 3</v>
      </c>
      <c r="C62" s="57">
        <f>+G61*$B$7</f>
        <v>-1274.0561431332367</v>
      </c>
      <c r="D62" s="57">
        <f t="shared" si="8"/>
        <v>1828.2943359690173</v>
      </c>
      <c r="E62" s="89">
        <f>IF((R62/$B$5*$C$54-7000)&gt;0,(R62/$B$5*$C$54-7000)*0.6*-$E$57,0)</f>
        <v>0</v>
      </c>
      <c r="F62" s="57">
        <f>-C62*$F$57</f>
        <v>364.38005693610563</v>
      </c>
      <c r="G62" s="89">
        <f t="shared" si="20"/>
        <v>-41549.919854669337</v>
      </c>
      <c r="H62" s="57"/>
      <c r="I62" s="57"/>
      <c r="J62" s="13" t="s">
        <v>72</v>
      </c>
      <c r="K62" s="57">
        <f t="shared" si="21"/>
        <v>-1274.0561431332367</v>
      </c>
      <c r="L62" s="57">
        <f>+(R62-S62)/$B$5*$K$54</f>
        <v>1828.2943359690173</v>
      </c>
      <c r="M62" s="89">
        <f t="shared" si="10"/>
        <v>0</v>
      </c>
      <c r="N62" s="57">
        <f t="shared" si="11"/>
        <v>364.38005693610563</v>
      </c>
      <c r="O62" s="89">
        <f t="shared" si="22"/>
        <v>-41549.919854669337</v>
      </c>
      <c r="P62" s="56"/>
      <c r="Q62" s="56">
        <v>3</v>
      </c>
      <c r="R62" s="13">
        <f t="shared" ref="R62:R67" si="24">+R61*1.005</f>
        <v>8585212.5</v>
      </c>
      <c r="S62" s="13">
        <v>1504000</v>
      </c>
      <c r="T62" s="13">
        <f t="shared" si="12"/>
        <v>27306.454000000002</v>
      </c>
      <c r="U62" s="13">
        <f t="shared" si="13"/>
        <v>0</v>
      </c>
      <c r="V62" s="13">
        <f t="shared" si="14"/>
        <v>-2990.4916640309821</v>
      </c>
      <c r="W62" s="13">
        <f t="shared" si="15"/>
        <v>0</v>
      </c>
      <c r="X62" s="13"/>
      <c r="Y62" s="57">
        <f>+L62</f>
        <v>1828.2943359690173</v>
      </c>
      <c r="Z62" s="57">
        <f>-T61+T62</f>
        <v>-4818.7860000000001</v>
      </c>
      <c r="AA62" s="57">
        <f>+Y62+Z62</f>
        <v>-2990.491664030983</v>
      </c>
      <c r="AB62" s="89">
        <f>-AE62-AF62</f>
        <v>2990.491664030983</v>
      </c>
      <c r="AC62" s="21">
        <f>+AA62+AB62</f>
        <v>0</v>
      </c>
      <c r="AD62" s="56"/>
      <c r="AE62" s="57">
        <f t="shared" si="17"/>
        <v>-2990.491664030983</v>
      </c>
      <c r="AF62" s="89">
        <f>IF(AA62&gt;0,IF(-AG61&gt;AA62,AA62,-AG61),0)</f>
        <v>0</v>
      </c>
      <c r="AG62" s="89">
        <f t="shared" si="18"/>
        <v>-11450.858893335484</v>
      </c>
    </row>
    <row r="63" spans="1:33">
      <c r="A63" s="57"/>
      <c r="B63" s="89" t="str">
        <f t="shared" si="19"/>
        <v>år 4</v>
      </c>
      <c r="C63" s="57">
        <f>+G62*$B$7</f>
        <v>-1246.4975956400801</v>
      </c>
      <c r="D63" s="57">
        <f t="shared" si="8"/>
        <v>1831.6317088913991</v>
      </c>
      <c r="E63" s="89">
        <f>IF((R63/$B$5*$C$54-7000)&gt;0,(R63/$B$5*$C$54-7000)*0.6*-$E$57,0)</f>
        <v>0</v>
      </c>
      <c r="F63" s="57">
        <f t="shared" ref="F63:F79" si="25">-C63*$F$57</f>
        <v>356.49831235306289</v>
      </c>
      <c r="G63" s="89">
        <f t="shared" si="20"/>
        <v>-40608.287429064956</v>
      </c>
      <c r="H63" s="57"/>
      <c r="I63" s="57"/>
      <c r="J63" s="13" t="s">
        <v>73</v>
      </c>
      <c r="K63" s="57">
        <f t="shared" si="21"/>
        <v>-1246.4975956400801</v>
      </c>
      <c r="L63" s="57">
        <f>+(R63-S63)/$B$5*$K$54</f>
        <v>1831.6317088913991</v>
      </c>
      <c r="M63" s="89">
        <f t="shared" si="10"/>
        <v>0</v>
      </c>
      <c r="N63" s="57">
        <f t="shared" si="11"/>
        <v>356.49831235306289</v>
      </c>
      <c r="O63" s="89">
        <f t="shared" si="22"/>
        <v>-40608.287429064956</v>
      </c>
      <c r="P63" s="56"/>
      <c r="Q63" s="56"/>
      <c r="R63" s="13">
        <f t="shared" si="24"/>
        <v>8628138.5625</v>
      </c>
      <c r="S63" s="13">
        <v>1534000</v>
      </c>
      <c r="T63" s="13">
        <f t="shared" si="12"/>
        <v>23210.4859</v>
      </c>
      <c r="U63" s="13">
        <f t="shared" si="13"/>
        <v>0</v>
      </c>
      <c r="V63" s="13">
        <f t="shared" si="14"/>
        <v>-2264.3363911086017</v>
      </c>
      <c r="W63" s="13">
        <f t="shared" si="15"/>
        <v>0</v>
      </c>
      <c r="X63" s="13"/>
      <c r="Y63" s="57">
        <f>+L63</f>
        <v>1831.6317088913991</v>
      </c>
      <c r="Z63" s="57">
        <f t="shared" si="16"/>
        <v>-4095.9681000000019</v>
      </c>
      <c r="AA63" s="57">
        <f t="shared" ref="AA63:AA79" si="26">+Y63+Z63</f>
        <v>-2264.3363911086026</v>
      </c>
      <c r="AB63" s="89">
        <f>-AE63-AF63</f>
        <v>2264.3363911086026</v>
      </c>
      <c r="AC63" s="21">
        <f t="shared" ref="AC63:AC67" si="27">+AA63+AB63</f>
        <v>0</v>
      </c>
      <c r="AD63" s="56"/>
      <c r="AE63" s="57">
        <f t="shared" si="17"/>
        <v>-2264.3363911086026</v>
      </c>
      <c r="AF63" s="89">
        <f>IF(AA63&gt;0,IF(-AG62&gt;AA63,AA63,-AG62),0)</f>
        <v>0</v>
      </c>
      <c r="AG63" s="89">
        <f t="shared" si="18"/>
        <v>-13715.195284444086</v>
      </c>
    </row>
    <row r="64" spans="1:33">
      <c r="A64" s="56"/>
      <c r="B64" s="89" t="str">
        <f t="shared" si="19"/>
        <v>år 5</v>
      </c>
      <c r="C64" s="57">
        <f t="shared" ref="C64:C82" si="28">+G63*$B$7</f>
        <v>-1218.2486228719486</v>
      </c>
      <c r="D64" s="57">
        <f t="shared" si="8"/>
        <v>1835.0244970953684</v>
      </c>
      <c r="E64" s="89">
        <f t="shared" ref="E64:E84" si="29">IF((R64/$B$5*$C$54-7000)&gt;0,(R64/$B$5*$C$54-7000)*0.6*-$E$57,0)</f>
        <v>0</v>
      </c>
      <c r="F64" s="57">
        <f t="shared" si="25"/>
        <v>348.41910614137726</v>
      </c>
      <c r="G64" s="89">
        <f t="shared" si="20"/>
        <v>-39643.092448700154</v>
      </c>
      <c r="H64" s="57"/>
      <c r="I64" s="57"/>
      <c r="J64" s="13" t="s">
        <v>74</v>
      </c>
      <c r="K64" s="57">
        <f t="shared" si="21"/>
        <v>-1218.2486228719486</v>
      </c>
      <c r="L64" s="57">
        <f>+(R64-S64)/$B$5*$K$54</f>
        <v>1835.0244970953684</v>
      </c>
      <c r="M64" s="89">
        <f t="shared" si="10"/>
        <v>0</v>
      </c>
      <c r="N64" s="57">
        <f t="shared" si="11"/>
        <v>348.41910614137726</v>
      </c>
      <c r="O64" s="89">
        <f t="shared" si="22"/>
        <v>-39643.092448700154</v>
      </c>
      <c r="P64" s="56"/>
      <c r="Q64" s="56"/>
      <c r="R64" s="13">
        <f t="shared" si="24"/>
        <v>8671279.2553124987</v>
      </c>
      <c r="S64" s="13">
        <v>1564000</v>
      </c>
      <c r="T64" s="13">
        <f t="shared" si="12"/>
        <v>19728.913014999998</v>
      </c>
      <c r="U64" s="13">
        <f t="shared" ref="U64:U65" si="30">+U63*0.85</f>
        <v>0</v>
      </c>
      <c r="V64" s="13">
        <f t="shared" si="14"/>
        <v>-1646.5483879046333</v>
      </c>
      <c r="W64" s="13">
        <f t="shared" si="15"/>
        <v>0</v>
      </c>
      <c r="X64" s="13"/>
      <c r="Y64" s="57">
        <f>+L64</f>
        <v>1835.0244970953684</v>
      </c>
      <c r="Z64" s="57">
        <f t="shared" si="16"/>
        <v>-3481.5728850000014</v>
      </c>
      <c r="AA64" s="57">
        <f t="shared" si="26"/>
        <v>-1646.548387904633</v>
      </c>
      <c r="AB64" s="89">
        <f t="shared" ref="AB64:AB79" si="31">-AE64+AF64</f>
        <v>1646.548387904633</v>
      </c>
      <c r="AC64" s="21">
        <f t="shared" si="27"/>
        <v>0</v>
      </c>
      <c r="AD64" s="56"/>
      <c r="AE64" s="57">
        <f t="shared" si="17"/>
        <v>-1646.548387904633</v>
      </c>
      <c r="AF64" s="89">
        <f>IF(AA64&gt;0,IF(-AG63&gt;AA64,AA64,-AG63),0)</f>
        <v>0</v>
      </c>
      <c r="AG64" s="89">
        <f t="shared" si="18"/>
        <v>-15361.743672348719</v>
      </c>
    </row>
    <row r="65" spans="2:33">
      <c r="B65" s="89" t="str">
        <f t="shared" si="19"/>
        <v>år 6</v>
      </c>
      <c r="C65" s="57">
        <f t="shared" si="28"/>
        <v>-1189.2927734610046</v>
      </c>
      <c r="D65" s="57">
        <f t="shared" si="8"/>
        <v>1838.4729776573336</v>
      </c>
      <c r="E65" s="89">
        <f t="shared" si="29"/>
        <v>0</v>
      </c>
      <c r="F65" s="57">
        <f t="shared" si="25"/>
        <v>340.13773320984728</v>
      </c>
      <c r="G65" s="89">
        <f t="shared" si="20"/>
        <v>-38653.774511293974</v>
      </c>
      <c r="H65" s="57"/>
      <c r="I65" s="57"/>
      <c r="J65" s="13" t="s">
        <v>75</v>
      </c>
      <c r="K65" s="57">
        <f t="shared" si="21"/>
        <v>-1189.2927734610046</v>
      </c>
      <c r="L65" s="57">
        <f t="shared" si="9"/>
        <v>1838.4729776573336</v>
      </c>
      <c r="M65" s="89">
        <f t="shared" si="10"/>
        <v>0</v>
      </c>
      <c r="N65" s="57">
        <f t="shared" si="11"/>
        <v>340.13773320984728</v>
      </c>
      <c r="O65" s="89">
        <f>+O64+K65+L65+M65+N65</f>
        <v>-38653.774511293974</v>
      </c>
      <c r="P65" s="56"/>
      <c r="Q65" s="56"/>
      <c r="R65" s="13">
        <f t="shared" si="24"/>
        <v>8714635.6515890602</v>
      </c>
      <c r="S65" s="13">
        <v>1594000</v>
      </c>
      <c r="T65" s="13">
        <f t="shared" si="12"/>
        <v>16769.576062749999</v>
      </c>
      <c r="U65" s="13">
        <f t="shared" si="30"/>
        <v>0</v>
      </c>
      <c r="V65" s="13">
        <f t="shared" si="14"/>
        <v>-1120.8639745926666</v>
      </c>
      <c r="W65" s="13">
        <f t="shared" si="15"/>
        <v>0</v>
      </c>
      <c r="X65" s="13"/>
      <c r="Y65" s="57">
        <f t="shared" ref="Y65:Y78" si="32">+L65</f>
        <v>1838.4729776573336</v>
      </c>
      <c r="Z65" s="57">
        <f t="shared" si="16"/>
        <v>-2959.3369522499997</v>
      </c>
      <c r="AA65" s="57">
        <f t="shared" si="26"/>
        <v>-1120.8639745926662</v>
      </c>
      <c r="AB65" s="89">
        <f t="shared" si="31"/>
        <v>1120.8639745926662</v>
      </c>
      <c r="AC65" s="21">
        <f t="shared" si="27"/>
        <v>0</v>
      </c>
      <c r="AD65" s="56"/>
      <c r="AE65" s="57">
        <f t="shared" si="17"/>
        <v>-1120.8639745926662</v>
      </c>
      <c r="AF65" s="89">
        <f>IF(AA65&gt;0,IF(-AG64&gt;AA65,AA65,-AG64),0)</f>
        <v>0</v>
      </c>
      <c r="AG65" s="89">
        <f t="shared" si="18"/>
        <v>-16482.607646941386</v>
      </c>
    </row>
    <row r="66" spans="2:33">
      <c r="B66" s="89" t="str">
        <f t="shared" si="19"/>
        <v>år 7</v>
      </c>
      <c r="C66" s="57">
        <f t="shared" si="28"/>
        <v>-1159.6132353388191</v>
      </c>
      <c r="D66" s="57">
        <f t="shared" si="8"/>
        <v>1841.4610501460718</v>
      </c>
      <c r="E66" s="89">
        <f t="shared" si="29"/>
        <v>0</v>
      </c>
      <c r="F66" s="57">
        <f t="shared" si="25"/>
        <v>331.64938530690222</v>
      </c>
      <c r="G66" s="89">
        <f t="shared" si="20"/>
        <v>-37640.277311179816</v>
      </c>
      <c r="H66" s="57"/>
      <c r="I66" s="57"/>
      <c r="J66" s="13" t="s">
        <v>76</v>
      </c>
      <c r="K66" s="57">
        <f t="shared" si="21"/>
        <v>-1159.6132353388191</v>
      </c>
      <c r="L66" s="57">
        <f t="shared" si="9"/>
        <v>1841.4610501460718</v>
      </c>
      <c r="M66" s="89">
        <f t="shared" si="10"/>
        <v>0</v>
      </c>
      <c r="N66" s="57">
        <f t="shared" si="11"/>
        <v>331.64938530690222</v>
      </c>
      <c r="O66" s="89">
        <f>+O65+K66+L66+M66+N66</f>
        <v>-37640.277311179816</v>
      </c>
      <c r="P66" s="56"/>
      <c r="Q66" s="56"/>
      <c r="R66" s="13">
        <f t="shared" si="24"/>
        <v>8758208.8298470043</v>
      </c>
      <c r="S66" s="13">
        <v>1626000</v>
      </c>
      <c r="T66" s="13">
        <f t="shared" si="12"/>
        <v>14254.139653337499</v>
      </c>
      <c r="U66" s="13">
        <f>+U65*0.85</f>
        <v>0</v>
      </c>
      <c r="V66" s="13">
        <f t="shared" si="14"/>
        <v>-673.9753592664274</v>
      </c>
      <c r="W66" s="13">
        <f t="shared" si="15"/>
        <v>0</v>
      </c>
      <c r="X66" s="13"/>
      <c r="Y66" s="57">
        <f t="shared" si="32"/>
        <v>1841.4610501460718</v>
      </c>
      <c r="Z66" s="57">
        <f t="shared" si="16"/>
        <v>-2515.4364094124994</v>
      </c>
      <c r="AA66" s="57">
        <f t="shared" si="26"/>
        <v>-673.97535926642763</v>
      </c>
      <c r="AB66" s="89">
        <f t="shared" si="31"/>
        <v>673.97535926642763</v>
      </c>
      <c r="AC66" s="21">
        <f t="shared" si="27"/>
        <v>0</v>
      </c>
      <c r="AD66" s="56"/>
      <c r="AE66" s="57">
        <f t="shared" si="17"/>
        <v>-673.97535926642763</v>
      </c>
      <c r="AF66" s="89">
        <f t="shared" ref="AF66:AF79" si="33">IF(AA66&gt;0,IF(-AG65&gt;AA66,AA66,-AG65),0)</f>
        <v>0</v>
      </c>
      <c r="AG66" s="89">
        <f t="shared" si="18"/>
        <v>-17156.583006207813</v>
      </c>
    </row>
    <row r="67" spans="2:33">
      <c r="B67" s="89" t="str">
        <f t="shared" si="19"/>
        <v>år 8</v>
      </c>
      <c r="C67" s="57">
        <f t="shared" si="28"/>
        <v>-1129.2083193353944</v>
      </c>
      <c r="D67" s="57">
        <f t="shared" si="8"/>
        <v>1844.505373308695</v>
      </c>
      <c r="E67" s="89">
        <f t="shared" si="29"/>
        <v>0</v>
      </c>
      <c r="F67" s="57">
        <f t="shared" si="25"/>
        <v>322.95357932992277</v>
      </c>
      <c r="G67" s="89">
        <f t="shared" si="20"/>
        <v>-36602.026677876594</v>
      </c>
      <c r="H67" s="57"/>
      <c r="I67" s="57"/>
      <c r="J67" s="13" t="s">
        <v>77</v>
      </c>
      <c r="K67" s="57">
        <f t="shared" si="21"/>
        <v>-1129.2083193353944</v>
      </c>
      <c r="L67" s="57">
        <f t="shared" si="9"/>
        <v>1844.505373308695</v>
      </c>
      <c r="M67" s="89">
        <f t="shared" si="10"/>
        <v>0</v>
      </c>
      <c r="N67" s="57">
        <f t="shared" ref="N67:N79" si="34">-K67*$N$57</f>
        <v>322.95357932992277</v>
      </c>
      <c r="O67" s="89">
        <f t="shared" si="22"/>
        <v>-36602.026677876594</v>
      </c>
      <c r="P67" s="56"/>
      <c r="Q67" s="56"/>
      <c r="R67" s="13">
        <f t="shared" si="24"/>
        <v>8801999.8739962392</v>
      </c>
      <c r="S67" s="13">
        <v>1658000</v>
      </c>
      <c r="T67" s="13">
        <f t="shared" si="12"/>
        <v>12116.018705336874</v>
      </c>
      <c r="U67" s="13">
        <f>+U66*0.85</f>
        <v>0</v>
      </c>
      <c r="V67" s="13">
        <f t="shared" si="14"/>
        <v>-293.61557469193031</v>
      </c>
      <c r="W67" s="13">
        <f t="shared" si="15"/>
        <v>0</v>
      </c>
      <c r="X67" s="13"/>
      <c r="Y67" s="57">
        <f t="shared" si="32"/>
        <v>1844.505373308695</v>
      </c>
      <c r="Z67" s="57">
        <f t="shared" si="16"/>
        <v>-2138.1209480006255</v>
      </c>
      <c r="AA67" s="57">
        <f t="shared" si="26"/>
        <v>-293.61557469193053</v>
      </c>
      <c r="AB67" s="89">
        <f t="shared" si="31"/>
        <v>293.61557469193053</v>
      </c>
      <c r="AC67" s="21">
        <f t="shared" si="27"/>
        <v>0</v>
      </c>
      <c r="AD67" s="56"/>
      <c r="AE67" s="57">
        <f t="shared" si="17"/>
        <v>-293.61557469193053</v>
      </c>
      <c r="AF67" s="89">
        <f t="shared" si="33"/>
        <v>0</v>
      </c>
      <c r="AG67" s="89">
        <f t="shared" si="18"/>
        <v>-17450.198580899745</v>
      </c>
    </row>
    <row r="68" spans="2:33">
      <c r="B68" s="89" t="str">
        <f t="shared" si="19"/>
        <v>år 9</v>
      </c>
      <c r="C68" s="57">
        <f t="shared" si="28"/>
        <v>-1098.0608003362977</v>
      </c>
      <c r="D68" s="57">
        <f t="shared" si="8"/>
        <v>436.34016459577214</v>
      </c>
      <c r="E68" s="89">
        <f t="shared" si="29"/>
        <v>0</v>
      </c>
      <c r="F68" s="57">
        <f t="shared" si="25"/>
        <v>314.04538889618112</v>
      </c>
      <c r="G68" s="89">
        <f t="shared" si="20"/>
        <v>-36949.701924720946</v>
      </c>
      <c r="H68" s="57"/>
      <c r="I68" s="57"/>
      <c r="J68" s="13" t="s">
        <v>78</v>
      </c>
      <c r="K68" s="57">
        <f t="shared" si="21"/>
        <v>-1098.0608003362977</v>
      </c>
      <c r="L68" s="57">
        <f t="shared" si="9"/>
        <v>436.34016459577214</v>
      </c>
      <c r="M68" s="89">
        <f t="shared" si="10"/>
        <v>0</v>
      </c>
      <c r="N68" s="57">
        <f t="shared" si="34"/>
        <v>314.04538889618112</v>
      </c>
      <c r="O68" s="89">
        <f t="shared" si="22"/>
        <v>-36949.701924720946</v>
      </c>
      <c r="P68" s="56"/>
      <c r="Q68" s="56"/>
      <c r="R68" s="13">
        <v>3630000</v>
      </c>
      <c r="S68" s="13">
        <v>1940000</v>
      </c>
      <c r="T68" s="13">
        <f t="shared" si="12"/>
        <v>10298.615899536342</v>
      </c>
      <c r="U68" s="13">
        <f>+U67*0.85</f>
        <v>0</v>
      </c>
      <c r="V68" s="13"/>
      <c r="W68" s="13"/>
      <c r="X68" s="13"/>
      <c r="Y68" s="57">
        <f t="shared" si="32"/>
        <v>436.34016459577214</v>
      </c>
      <c r="Z68" s="57">
        <f t="shared" si="16"/>
        <v>-1817.4028058005315</v>
      </c>
      <c r="AA68" s="57">
        <f t="shared" si="26"/>
        <v>-1381.0626412047593</v>
      </c>
      <c r="AB68" s="89">
        <f t="shared" si="31"/>
        <v>1381.0626412047593</v>
      </c>
      <c r="AC68" s="21">
        <f t="shared" si="23"/>
        <v>0</v>
      </c>
      <c r="AD68" s="56"/>
      <c r="AE68" s="57">
        <f t="shared" ref="AE68:AE79" si="35">IF(AA68&lt;0,AA68,0)</f>
        <v>-1381.0626412047593</v>
      </c>
      <c r="AF68" s="89">
        <f t="shared" si="33"/>
        <v>0</v>
      </c>
      <c r="AG68" s="89">
        <f t="shared" si="18"/>
        <v>-18831.261222104506</v>
      </c>
    </row>
    <row r="69" spans="2:33">
      <c r="B69" s="89" t="str">
        <f t="shared" si="19"/>
        <v>år 10</v>
      </c>
      <c r="C69" s="57">
        <f t="shared" si="28"/>
        <v>-1108.4910577416283</v>
      </c>
      <c r="D69" s="57">
        <f t="shared" si="8"/>
        <v>516.58415362272069</v>
      </c>
      <c r="E69" s="89">
        <f t="shared" si="29"/>
        <v>0</v>
      </c>
      <c r="F69" s="57">
        <f t="shared" si="25"/>
        <v>317.02844251410568</v>
      </c>
      <c r="G69" s="89">
        <f t="shared" si="20"/>
        <v>-37224.580386325746</v>
      </c>
      <c r="H69" s="57"/>
      <c r="I69" s="57"/>
      <c r="J69" s="13" t="s">
        <v>79</v>
      </c>
      <c r="K69" s="57">
        <f t="shared" si="21"/>
        <v>-1108.4910577416283</v>
      </c>
      <c r="L69" s="57">
        <f t="shared" si="9"/>
        <v>516.58415362272069</v>
      </c>
      <c r="M69" s="89">
        <f t="shared" si="10"/>
        <v>0</v>
      </c>
      <c r="N69" s="57">
        <f t="shared" si="34"/>
        <v>317.02844251410568</v>
      </c>
      <c r="O69" s="89">
        <f t="shared" si="22"/>
        <v>-37224.580386325746</v>
      </c>
      <c r="P69" s="56"/>
      <c r="Q69" s="56"/>
      <c r="R69" s="13">
        <f>+R68*1.0125</f>
        <v>3675375</v>
      </c>
      <c r="S69" s="13">
        <f>+S67*1.01</f>
        <v>1674580</v>
      </c>
      <c r="T69" s="13">
        <f t="shared" si="12"/>
        <v>8753.8235146058905</v>
      </c>
      <c r="U69" s="19">
        <f>+U68-U67</f>
        <v>0</v>
      </c>
      <c r="V69" s="19">
        <f>SUM(V60:V68)</f>
        <v>-17450.198580899742</v>
      </c>
      <c r="W69" s="19">
        <f>SUM(W60:W68)</f>
        <v>0</v>
      </c>
      <c r="X69" s="13"/>
      <c r="Y69" s="57">
        <f t="shared" si="32"/>
        <v>516.58415362272069</v>
      </c>
      <c r="Z69" s="57">
        <f t="shared" si="16"/>
        <v>-1544.7923849304516</v>
      </c>
      <c r="AA69" s="57">
        <f t="shared" si="26"/>
        <v>-1028.2082313077308</v>
      </c>
      <c r="AB69" s="89">
        <f t="shared" si="31"/>
        <v>1028.2082313077308</v>
      </c>
      <c r="AC69" s="21">
        <f t="shared" si="23"/>
        <v>0</v>
      </c>
      <c r="AD69" s="56"/>
      <c r="AE69" s="57">
        <f>IF(AA69&lt;0,AA69,0)</f>
        <v>-1028.2082313077308</v>
      </c>
      <c r="AF69" s="89">
        <f t="shared" si="33"/>
        <v>0</v>
      </c>
      <c r="AG69" s="89">
        <f t="shared" si="18"/>
        <v>-19859.469453412235</v>
      </c>
    </row>
    <row r="70" spans="2:33">
      <c r="B70" s="89" t="str">
        <f t="shared" si="19"/>
        <v>år 11</v>
      </c>
      <c r="C70" s="57">
        <f t="shared" si="28"/>
        <v>-1116.7374115897724</v>
      </c>
      <c r="D70" s="57">
        <f t="shared" ref="D70" si="36">+(R70-S70)/$B$5*$C$54</f>
        <v>524.12235275133128</v>
      </c>
      <c r="E70" s="89">
        <f t="shared" si="29"/>
        <v>0</v>
      </c>
      <c r="F70" s="57">
        <f t="shared" si="25"/>
        <v>319.38689971467488</v>
      </c>
      <c r="G70" s="89">
        <f t="shared" si="20"/>
        <v>-37497.808545449509</v>
      </c>
      <c r="H70" s="57"/>
      <c r="I70" s="57"/>
      <c r="J70" s="13" t="s">
        <v>80</v>
      </c>
      <c r="K70" s="57">
        <f t="shared" si="21"/>
        <v>-1116.7374115897724</v>
      </c>
      <c r="L70" s="57">
        <f t="shared" si="9"/>
        <v>524.12235275133128</v>
      </c>
      <c r="M70" s="89">
        <f t="shared" si="10"/>
        <v>0</v>
      </c>
      <c r="N70" s="57">
        <f t="shared" si="34"/>
        <v>319.38689971467488</v>
      </c>
      <c r="O70" s="89">
        <f t="shared" si="22"/>
        <v>-37497.808545449509</v>
      </c>
      <c r="P70" s="56"/>
      <c r="Q70" s="56"/>
      <c r="R70" s="13">
        <f t="shared" ref="R70:R84" si="37">+R69*1.0125</f>
        <v>3721317.1875</v>
      </c>
      <c r="S70" s="13">
        <f>+S69*1.01</f>
        <v>1691325.8</v>
      </c>
      <c r="T70" s="13">
        <f t="shared" ref="T70:T85" si="38">+T69*0.85</f>
        <v>7440.7499874150071</v>
      </c>
      <c r="U70" s="13"/>
      <c r="V70" s="13">
        <f>IF(V69&gt;0,T69,-M29)</f>
        <v>-1950.7315152493143</v>
      </c>
      <c r="W70" s="13">
        <f>IF(W69&gt;0,U69,-N29)</f>
        <v>0</v>
      </c>
      <c r="X70" s="13"/>
      <c r="Y70" s="57">
        <f t="shared" si="32"/>
        <v>524.12235275133128</v>
      </c>
      <c r="Z70" s="57">
        <f t="shared" si="16"/>
        <v>-1313.0735271908834</v>
      </c>
      <c r="AA70" s="57">
        <f t="shared" si="26"/>
        <v>-788.95117443955212</v>
      </c>
      <c r="AB70" s="89">
        <f t="shared" si="31"/>
        <v>788.95117443955212</v>
      </c>
      <c r="AC70" s="21">
        <f t="shared" si="23"/>
        <v>0</v>
      </c>
      <c r="AD70" s="56"/>
      <c r="AE70" s="57">
        <f t="shared" si="35"/>
        <v>-788.95117443955212</v>
      </c>
      <c r="AF70" s="89">
        <f t="shared" si="33"/>
        <v>0</v>
      </c>
      <c r="AG70" s="89">
        <f t="shared" si="18"/>
        <v>-20648.420627851789</v>
      </c>
    </row>
    <row r="71" spans="2:33">
      <c r="B71" s="89" t="str">
        <f t="shared" si="19"/>
        <v>år 12</v>
      </c>
      <c r="C71" s="57">
        <f t="shared" si="28"/>
        <v>-1124.9342563634852</v>
      </c>
      <c r="D71" s="57">
        <f t="shared" ref="D71:D78" si="39">+(R71-S71)/$B$5*$C$54</f>
        <v>531.7655883411328</v>
      </c>
      <c r="E71" s="89">
        <f t="shared" si="29"/>
        <v>0</v>
      </c>
      <c r="F71" s="57">
        <f t="shared" si="25"/>
        <v>321.73119731995678</v>
      </c>
      <c r="G71" s="89">
        <f t="shared" si="20"/>
        <v>-37769.246016151905</v>
      </c>
      <c r="H71" s="57"/>
      <c r="I71" s="57"/>
      <c r="J71" s="13" t="s">
        <v>81</v>
      </c>
      <c r="K71" s="57">
        <f t="shared" si="21"/>
        <v>-1124.9342563634852</v>
      </c>
      <c r="L71" s="57">
        <f t="shared" si="9"/>
        <v>531.7655883411328</v>
      </c>
      <c r="M71" s="89">
        <f t="shared" si="10"/>
        <v>0</v>
      </c>
      <c r="N71" s="57">
        <f t="shared" si="34"/>
        <v>321.73119731995678</v>
      </c>
      <c r="O71" s="89">
        <f t="shared" si="22"/>
        <v>-37769.246016151905</v>
      </c>
      <c r="P71" s="56"/>
      <c r="Q71" s="56"/>
      <c r="R71" s="13">
        <f t="shared" si="37"/>
        <v>3767833.65234375</v>
      </c>
      <c r="S71" s="13">
        <f t="shared" ref="S71:S84" si="40">+S70*1.01</f>
        <v>1708239.058</v>
      </c>
      <c r="T71" s="13">
        <f t="shared" si="38"/>
        <v>6324.637489302756</v>
      </c>
      <c r="U71" s="13"/>
      <c r="V71" s="13"/>
      <c r="W71" s="13"/>
      <c r="X71" s="13"/>
      <c r="Y71" s="57">
        <f t="shared" si="32"/>
        <v>531.7655883411328</v>
      </c>
      <c r="Z71" s="57">
        <f t="shared" si="16"/>
        <v>-1116.1124981122512</v>
      </c>
      <c r="AA71" s="57">
        <f t="shared" si="26"/>
        <v>-584.34690977111836</v>
      </c>
      <c r="AB71" s="89">
        <f t="shared" si="31"/>
        <v>584.34690977111836</v>
      </c>
      <c r="AC71" s="21">
        <f t="shared" si="23"/>
        <v>0</v>
      </c>
      <c r="AD71" s="56"/>
      <c r="AE71" s="57">
        <f t="shared" si="35"/>
        <v>-584.34690977111836</v>
      </c>
      <c r="AF71" s="89">
        <f t="shared" si="33"/>
        <v>0</v>
      </c>
      <c r="AG71" s="89">
        <f t="shared" ref="AG71:AG79" si="41">+AF71+AG70+AE71</f>
        <v>-21232.767537622905</v>
      </c>
    </row>
    <row r="72" spans="2:33">
      <c r="B72" s="89" t="str">
        <f t="shared" si="19"/>
        <v>år 13</v>
      </c>
      <c r="C72" s="57">
        <f t="shared" si="28"/>
        <v>-1133.0773804845571</v>
      </c>
      <c r="D72" s="57">
        <f t="shared" si="39"/>
        <v>539.51528143761095</v>
      </c>
      <c r="E72" s="89">
        <f t="shared" si="29"/>
        <v>0</v>
      </c>
      <c r="F72" s="57">
        <f t="shared" si="25"/>
        <v>324.06013081858333</v>
      </c>
      <c r="G72" s="89">
        <f t="shared" ref="G72:G79" si="42">+G71+C72+D72+E72+F72</f>
        <v>-38038.747984380265</v>
      </c>
      <c r="H72" s="57"/>
      <c r="I72" s="57"/>
      <c r="J72" s="13" t="s">
        <v>82</v>
      </c>
      <c r="K72" s="57">
        <f t="shared" si="21"/>
        <v>-1133.0773804845571</v>
      </c>
      <c r="L72" s="57">
        <f t="shared" si="9"/>
        <v>539.51528143761095</v>
      </c>
      <c r="M72" s="89">
        <f t="shared" ref="M72:M83" si="43">+AC72*-$M$57</f>
        <v>0</v>
      </c>
      <c r="N72" s="57">
        <f t="shared" si="34"/>
        <v>324.06013081858333</v>
      </c>
      <c r="O72" s="89">
        <f t="shared" ref="O72:O79" si="44">+O71+K72+L72+M72+N72</f>
        <v>-38038.747984380265</v>
      </c>
      <c r="P72" s="56"/>
      <c r="Q72" s="56"/>
      <c r="R72" s="13">
        <f t="shared" si="37"/>
        <v>3814931.5729980469</v>
      </c>
      <c r="S72" s="13">
        <f t="shared" si="40"/>
        <v>1725321.4485800001</v>
      </c>
      <c r="T72" s="13">
        <f t="shared" si="38"/>
        <v>5375.9418659073426</v>
      </c>
      <c r="U72" s="13"/>
      <c r="V72" s="13"/>
      <c r="W72" s="13"/>
      <c r="X72" s="13"/>
      <c r="Y72" s="57">
        <f t="shared" si="32"/>
        <v>539.51528143761095</v>
      </c>
      <c r="Z72" s="57">
        <f t="shared" si="16"/>
        <v>-948.69562339541335</v>
      </c>
      <c r="AA72" s="57">
        <f t="shared" si="26"/>
        <v>-409.1803419578024</v>
      </c>
      <c r="AB72" s="89">
        <f t="shared" si="31"/>
        <v>409.1803419578024</v>
      </c>
      <c r="AC72" s="21">
        <f t="shared" si="23"/>
        <v>0</v>
      </c>
      <c r="AD72" s="56"/>
      <c r="AE72" s="57">
        <f t="shared" si="35"/>
        <v>-409.1803419578024</v>
      </c>
      <c r="AF72" s="89">
        <f t="shared" si="33"/>
        <v>0</v>
      </c>
      <c r="AG72" s="89">
        <f t="shared" si="41"/>
        <v>-21641.947879580708</v>
      </c>
    </row>
    <row r="73" spans="2:33">
      <c r="B73" s="89" t="str">
        <f t="shared" si="19"/>
        <v>år 14</v>
      </c>
      <c r="C73" s="57">
        <f t="shared" si="28"/>
        <v>-1141.1624395314079</v>
      </c>
      <c r="D73" s="57">
        <f t="shared" si="39"/>
        <v>547.372871930217</v>
      </c>
      <c r="E73" s="89">
        <f t="shared" si="29"/>
        <v>0</v>
      </c>
      <c r="F73" s="57">
        <f t="shared" si="25"/>
        <v>326.37245770598264</v>
      </c>
      <c r="G73" s="89">
        <f t="shared" si="42"/>
        <v>-38306.165094275471</v>
      </c>
      <c r="H73" s="57"/>
      <c r="I73" s="57"/>
      <c r="J73" s="13" t="s">
        <v>83</v>
      </c>
      <c r="K73" s="57">
        <f t="shared" si="21"/>
        <v>-1141.1624395314079</v>
      </c>
      <c r="L73" s="57">
        <f t="shared" si="9"/>
        <v>547.372871930217</v>
      </c>
      <c r="M73" s="89">
        <f>+AC73*-$M$57</f>
        <v>0</v>
      </c>
      <c r="N73" s="57">
        <f t="shared" si="34"/>
        <v>326.37245770598264</v>
      </c>
      <c r="O73" s="89">
        <f t="shared" si="44"/>
        <v>-38306.165094275471</v>
      </c>
      <c r="P73" s="56"/>
      <c r="Q73" s="56"/>
      <c r="R73" s="13">
        <f t="shared" si="37"/>
        <v>3862618.2176605221</v>
      </c>
      <c r="S73" s="13">
        <f t="shared" si="40"/>
        <v>1742574.6630658002</v>
      </c>
      <c r="T73" s="13">
        <f t="shared" si="38"/>
        <v>4569.5505860212415</v>
      </c>
      <c r="U73" s="13"/>
      <c r="V73" s="13"/>
      <c r="W73" s="13"/>
      <c r="X73" s="13"/>
      <c r="Y73" s="57">
        <f t="shared" si="32"/>
        <v>547.372871930217</v>
      </c>
      <c r="Z73" s="57">
        <f t="shared" si="16"/>
        <v>-806.39127988610107</v>
      </c>
      <c r="AA73" s="57">
        <f t="shared" si="26"/>
        <v>-259.01840795588407</v>
      </c>
      <c r="AB73" s="89">
        <f t="shared" si="31"/>
        <v>259.01840795588407</v>
      </c>
      <c r="AC73" s="21">
        <f t="shared" si="23"/>
        <v>0</v>
      </c>
      <c r="AD73" s="56"/>
      <c r="AE73" s="57">
        <f t="shared" si="35"/>
        <v>-259.01840795588407</v>
      </c>
      <c r="AF73" s="89">
        <f t="shared" si="33"/>
        <v>0</v>
      </c>
      <c r="AG73" s="89">
        <f t="shared" si="41"/>
        <v>-21900.966287536594</v>
      </c>
    </row>
    <row r="74" spans="2:33">
      <c r="B74" s="89" t="str">
        <f t="shared" si="19"/>
        <v>år 15</v>
      </c>
      <c r="C74" s="57">
        <f t="shared" si="28"/>
        <v>-1149.1849528282642</v>
      </c>
      <c r="D74" s="57">
        <f t="shared" si="39"/>
        <v>555.33981879872715</v>
      </c>
      <c r="E74" s="89">
        <f t="shared" si="29"/>
        <v>0</v>
      </c>
      <c r="F74" s="57">
        <f t="shared" si="25"/>
        <v>328.6668965088835</v>
      </c>
      <c r="G74" s="89">
        <f t="shared" si="42"/>
        <v>-38571.343331796124</v>
      </c>
      <c r="H74" s="56"/>
      <c r="I74" s="56"/>
      <c r="J74" s="13" t="s">
        <v>84</v>
      </c>
      <c r="K74" s="57">
        <f t="shared" si="21"/>
        <v>-1149.1849528282642</v>
      </c>
      <c r="L74" s="57">
        <f t="shared" si="9"/>
        <v>555.33981879872715</v>
      </c>
      <c r="M74" s="89">
        <f>+AC74*-$M$57</f>
        <v>0</v>
      </c>
      <c r="N74" s="57">
        <f t="shared" si="34"/>
        <v>328.6668965088835</v>
      </c>
      <c r="O74" s="89">
        <f t="shared" si="44"/>
        <v>-38571.343331796124</v>
      </c>
      <c r="P74" s="56"/>
      <c r="Q74" s="56"/>
      <c r="R74" s="13">
        <f t="shared" si="37"/>
        <v>3910900.9453812786</v>
      </c>
      <c r="S74" s="13">
        <f t="shared" si="40"/>
        <v>1760000.4096964581</v>
      </c>
      <c r="T74" s="13">
        <f t="shared" si="38"/>
        <v>3884.1179981180553</v>
      </c>
      <c r="U74" s="14"/>
      <c r="V74" s="14"/>
      <c r="W74" s="14"/>
      <c r="X74" s="14"/>
      <c r="Y74" s="57">
        <f t="shared" si="32"/>
        <v>555.33981879872715</v>
      </c>
      <c r="Z74" s="57">
        <f t="shared" si="16"/>
        <v>-685.43258790318623</v>
      </c>
      <c r="AA74" s="57">
        <f t="shared" si="26"/>
        <v>-130.09276910445908</v>
      </c>
      <c r="AB74" s="89">
        <f t="shared" si="31"/>
        <v>130.09276910445908</v>
      </c>
      <c r="AC74" s="21">
        <f t="shared" si="23"/>
        <v>0</v>
      </c>
      <c r="AD74" s="56"/>
      <c r="AE74" s="57">
        <f t="shared" si="35"/>
        <v>-130.09276910445908</v>
      </c>
      <c r="AF74" s="89">
        <f t="shared" si="33"/>
        <v>0</v>
      </c>
      <c r="AG74" s="89">
        <f t="shared" si="41"/>
        <v>-22031.059056641054</v>
      </c>
    </row>
    <row r="75" spans="2:33">
      <c r="B75" s="89" t="str">
        <f t="shared" si="19"/>
        <v>år 16</v>
      </c>
      <c r="C75" s="57">
        <f t="shared" si="28"/>
        <v>-1157.1402999538836</v>
      </c>
      <c r="D75" s="57">
        <f t="shared" si="39"/>
        <v>563.41760036278754</v>
      </c>
      <c r="E75" s="89">
        <f t="shared" si="29"/>
        <v>0</v>
      </c>
      <c r="F75" s="57">
        <f t="shared" si="25"/>
        <v>330.94212578681072</v>
      </c>
      <c r="G75" s="89">
        <f t="shared" si="42"/>
        <v>-38834.123905600412</v>
      </c>
      <c r="H75" s="56"/>
      <c r="I75" s="56"/>
      <c r="J75" s="13" t="s">
        <v>85</v>
      </c>
      <c r="K75" s="57">
        <f t="shared" si="21"/>
        <v>-1157.1402999538836</v>
      </c>
      <c r="L75" s="57">
        <f t="shared" ref="L75:L84" si="45">+(R75-S75)/$B$5*$K$54</f>
        <v>563.41760036278754</v>
      </c>
      <c r="M75" s="89">
        <f>+AC75*-$M$57</f>
        <v>0</v>
      </c>
      <c r="N75" s="57">
        <f t="shared" si="34"/>
        <v>330.94212578681072</v>
      </c>
      <c r="O75" s="89">
        <f t="shared" si="44"/>
        <v>-38834.123905600412</v>
      </c>
      <c r="P75" s="56"/>
      <c r="Q75" s="56"/>
      <c r="R75" s="13">
        <f t="shared" si="37"/>
        <v>3959787.2071985444</v>
      </c>
      <c r="S75" s="13">
        <f t="shared" si="40"/>
        <v>1777600.4137934227</v>
      </c>
      <c r="T75" s="13">
        <f t="shared" si="38"/>
        <v>3301.5002984003468</v>
      </c>
      <c r="U75" s="14"/>
      <c r="V75" s="14"/>
      <c r="W75" s="14"/>
      <c r="X75" s="14"/>
      <c r="Y75" s="57">
        <f t="shared" si="32"/>
        <v>563.41760036278754</v>
      </c>
      <c r="Z75" s="57">
        <f t="shared" si="16"/>
        <v>-582.61769971770855</v>
      </c>
      <c r="AA75" s="57">
        <f t="shared" si="26"/>
        <v>-19.200099354921008</v>
      </c>
      <c r="AB75" s="89">
        <f t="shared" si="31"/>
        <v>19.200099354921008</v>
      </c>
      <c r="AC75" s="21">
        <f t="shared" si="23"/>
        <v>0</v>
      </c>
      <c r="AD75" s="56"/>
      <c r="AE75" s="57">
        <f t="shared" si="35"/>
        <v>-19.200099354921008</v>
      </c>
      <c r="AF75" s="89">
        <f t="shared" si="33"/>
        <v>0</v>
      </c>
      <c r="AG75" s="89">
        <f t="shared" si="41"/>
        <v>-22050.259155995976</v>
      </c>
    </row>
    <row r="76" spans="2:33">
      <c r="B76" s="89" t="str">
        <f t="shared" si="19"/>
        <v>år 17</v>
      </c>
      <c r="C76" s="57">
        <f t="shared" si="28"/>
        <v>-1165.0237171680124</v>
      </c>
      <c r="D76" s="57">
        <f>+(R76-S76)/$B$5*$C$54</f>
        <v>571.60771453468942</v>
      </c>
      <c r="E76" s="89">
        <f t="shared" si="29"/>
        <v>0</v>
      </c>
      <c r="F76" s="57">
        <f t="shared" si="25"/>
        <v>333.19678311005151</v>
      </c>
      <c r="G76" s="89">
        <f t="shared" si="42"/>
        <v>-39094.343125123691</v>
      </c>
      <c r="H76" s="56"/>
      <c r="I76" s="56"/>
      <c r="J76" s="13" t="s">
        <v>86</v>
      </c>
      <c r="K76" s="57">
        <f t="shared" si="21"/>
        <v>-1165.0237171680124</v>
      </c>
      <c r="L76" s="57">
        <f>+(R76-S76)/$B$5*$K$54</f>
        <v>571.60771453468942</v>
      </c>
      <c r="M76" s="89">
        <f t="shared" si="43"/>
        <v>-65.536330666638705</v>
      </c>
      <c r="N76" s="57">
        <f t="shared" si="34"/>
        <v>333.19678311005151</v>
      </c>
      <c r="O76" s="89">
        <f t="shared" si="44"/>
        <v>-39159.879455790331</v>
      </c>
      <c r="P76" s="56"/>
      <c r="Q76" s="56"/>
      <c r="R76" s="13">
        <f t="shared" si="37"/>
        <v>4009284.5472885258</v>
      </c>
      <c r="S76" s="13">
        <f t="shared" si="40"/>
        <v>1795376.4179313569</v>
      </c>
      <c r="T76" s="13">
        <f t="shared" si="38"/>
        <v>2806.2752536402945</v>
      </c>
      <c r="U76" s="14"/>
      <c r="V76" s="14"/>
      <c r="W76" s="14"/>
      <c r="X76" s="14"/>
      <c r="Y76" s="57">
        <f t="shared" si="32"/>
        <v>571.60771453468942</v>
      </c>
      <c r="Z76" s="57">
        <f t="shared" si="16"/>
        <v>-495.22504476005224</v>
      </c>
      <c r="AA76" s="57">
        <f t="shared" si="26"/>
        <v>76.382669774637179</v>
      </c>
      <c r="AB76" s="89">
        <f t="shared" si="31"/>
        <v>76.382669774637179</v>
      </c>
      <c r="AC76" s="21">
        <f t="shared" si="23"/>
        <v>152.76533954927436</v>
      </c>
      <c r="AD76" s="56"/>
      <c r="AE76" s="57">
        <f t="shared" si="35"/>
        <v>0</v>
      </c>
      <c r="AF76" s="89">
        <f t="shared" si="33"/>
        <v>76.382669774637179</v>
      </c>
      <c r="AG76" s="89">
        <f t="shared" si="41"/>
        <v>-21973.876486221339</v>
      </c>
    </row>
    <row r="77" spans="2:33">
      <c r="B77" s="89" t="str">
        <f t="shared" si="19"/>
        <v>år 18</v>
      </c>
      <c r="C77" s="57">
        <f t="shared" si="28"/>
        <v>-1172.8302937537107</v>
      </c>
      <c r="D77" s="57">
        <f t="shared" si="39"/>
        <v>579.91167907541376</v>
      </c>
      <c r="E77" s="89">
        <f t="shared" si="29"/>
        <v>0</v>
      </c>
      <c r="F77" s="57">
        <f t="shared" si="25"/>
        <v>335.42946401356124</v>
      </c>
      <c r="G77" s="89">
        <f t="shared" si="42"/>
        <v>-39351.832275788423</v>
      </c>
      <c r="H77" s="56"/>
      <c r="I77" s="56"/>
      <c r="J77" s="13" t="s">
        <v>87</v>
      </c>
      <c r="K77" s="57">
        <f t="shared" si="21"/>
        <v>-1174.7963836737099</v>
      </c>
      <c r="L77" s="57">
        <f>+(R77-S77)/$B$5*$K$54</f>
        <v>579.91167907541376</v>
      </c>
      <c r="M77" s="89">
        <f t="shared" si="43"/>
        <v>-136.39659550319919</v>
      </c>
      <c r="N77" s="57">
        <f t="shared" si="34"/>
        <v>335.99176573068098</v>
      </c>
      <c r="O77" s="89">
        <f t="shared" si="44"/>
        <v>-39555.168990161146</v>
      </c>
      <c r="P77" s="56"/>
      <c r="Q77" s="56"/>
      <c r="R77" s="13">
        <f t="shared" si="37"/>
        <v>4059400.6041296325</v>
      </c>
      <c r="S77" s="13">
        <f t="shared" si="40"/>
        <v>1813330.1821106705</v>
      </c>
      <c r="T77" s="13">
        <f t="shared" si="38"/>
        <v>2385.3339655942505</v>
      </c>
      <c r="U77" s="14"/>
      <c r="V77" s="14"/>
      <c r="W77" s="14"/>
      <c r="X77" s="14"/>
      <c r="Y77" s="57">
        <f t="shared" si="32"/>
        <v>579.91167907541376</v>
      </c>
      <c r="Z77" s="57">
        <f t="shared" si="16"/>
        <v>-420.94128804604406</v>
      </c>
      <c r="AA77" s="57">
        <f t="shared" si="26"/>
        <v>158.97039102936969</v>
      </c>
      <c r="AB77" s="89">
        <f t="shared" si="31"/>
        <v>158.97039102936969</v>
      </c>
      <c r="AC77" s="21">
        <f t="shared" si="23"/>
        <v>317.94078205873939</v>
      </c>
      <c r="AD77" s="56"/>
      <c r="AE77" s="57">
        <f t="shared" si="35"/>
        <v>0</v>
      </c>
      <c r="AF77" s="89">
        <f t="shared" si="33"/>
        <v>158.97039102936969</v>
      </c>
      <c r="AG77" s="89">
        <f t="shared" si="41"/>
        <v>-21814.906095191971</v>
      </c>
    </row>
    <row r="78" spans="2:33">
      <c r="B78" s="89" t="str">
        <f t="shared" si="19"/>
        <v>år 19</v>
      </c>
      <c r="C78" s="57">
        <f t="shared" si="28"/>
        <v>-1180.5549682736525</v>
      </c>
      <c r="D78" s="57">
        <f t="shared" si="39"/>
        <v>588.33103185398761</v>
      </c>
      <c r="E78" s="89">
        <f t="shared" si="29"/>
        <v>0</v>
      </c>
      <c r="F78" s="57">
        <f t="shared" si="25"/>
        <v>337.63872092626463</v>
      </c>
      <c r="G78" s="89">
        <f t="shared" si="42"/>
        <v>-39606.417491281827</v>
      </c>
      <c r="H78" s="56"/>
      <c r="I78" s="56"/>
      <c r="J78" s="13" t="s">
        <v>88</v>
      </c>
      <c r="K78" s="57">
        <f t="shared" si="21"/>
        <v>-1186.6550697048344</v>
      </c>
      <c r="L78" s="57">
        <f t="shared" si="45"/>
        <v>588.33103185398761</v>
      </c>
      <c r="M78" s="89">
        <f>+AC78*-$M$57</f>
        <v>-197.79554395874121</v>
      </c>
      <c r="N78" s="57">
        <f t="shared" si="34"/>
        <v>339.3833499355826</v>
      </c>
      <c r="O78" s="89">
        <f>+O77+K78+L78+M78+N78</f>
        <v>-40011.905222035151</v>
      </c>
      <c r="P78" s="56"/>
      <c r="Q78" s="56"/>
      <c r="R78" s="13">
        <f t="shared" si="37"/>
        <v>4110143.1116812527</v>
      </c>
      <c r="S78" s="13">
        <f t="shared" si="40"/>
        <v>1831463.4839317773</v>
      </c>
      <c r="T78" s="13">
        <f t="shared" si="38"/>
        <v>2027.5338707551127</v>
      </c>
      <c r="U78" s="14"/>
      <c r="V78" s="14"/>
      <c r="W78" s="14"/>
      <c r="X78" s="14"/>
      <c r="Y78" s="57">
        <f t="shared" si="32"/>
        <v>588.33103185398761</v>
      </c>
      <c r="Z78" s="57">
        <f t="shared" si="16"/>
        <v>-357.80009483913773</v>
      </c>
      <c r="AA78" s="57">
        <f t="shared" si="26"/>
        <v>230.53093701484988</v>
      </c>
      <c r="AB78" s="89">
        <f t="shared" si="31"/>
        <v>230.53093701484988</v>
      </c>
      <c r="AC78" s="21">
        <f t="shared" si="23"/>
        <v>461.06187402969977</v>
      </c>
      <c r="AD78" s="56"/>
      <c r="AE78" s="57">
        <f t="shared" si="35"/>
        <v>0</v>
      </c>
      <c r="AF78" s="89">
        <f t="shared" si="33"/>
        <v>230.53093701484988</v>
      </c>
      <c r="AG78" s="89">
        <f t="shared" si="41"/>
        <v>-21584.375158177121</v>
      </c>
    </row>
    <row r="79" spans="2:33">
      <c r="B79" s="89" t="str">
        <f t="shared" si="19"/>
        <v>år 20</v>
      </c>
      <c r="C79" s="57">
        <f t="shared" si="28"/>
        <v>-1188.1925247384547</v>
      </c>
      <c r="D79" s="57">
        <f t="shared" ref="D79" si="46">+(R79-S79)/$B$5*$C$54</f>
        <v>596.86733111019464</v>
      </c>
      <c r="E79" s="89">
        <f t="shared" si="29"/>
        <v>0</v>
      </c>
      <c r="F79" s="57">
        <f t="shared" si="25"/>
        <v>339.82306207519804</v>
      </c>
      <c r="G79" s="89">
        <f t="shared" si="42"/>
        <v>-39857.919622834888</v>
      </c>
      <c r="H79" s="56"/>
      <c r="I79" s="56"/>
      <c r="J79" s="13" t="s">
        <v>89</v>
      </c>
      <c r="K79" s="57">
        <f t="shared" si="21"/>
        <v>-1200.3571566610544</v>
      </c>
      <c r="L79" s="57">
        <f t="shared" si="45"/>
        <v>596.86733111019464</v>
      </c>
      <c r="M79" s="89">
        <f t="shared" si="43"/>
        <v>-251.16856092636394</v>
      </c>
      <c r="N79" s="57">
        <f t="shared" si="34"/>
        <v>343.30214680506151</v>
      </c>
      <c r="O79" s="89">
        <f t="shared" si="44"/>
        <v>-40523.261461707312</v>
      </c>
      <c r="P79" s="56"/>
      <c r="Q79" s="56"/>
      <c r="R79" s="13">
        <f t="shared" si="37"/>
        <v>4161519.9005772681</v>
      </c>
      <c r="S79" s="13">
        <f t="shared" si="40"/>
        <v>1849778.1187710951</v>
      </c>
      <c r="T79" s="13">
        <f t="shared" si="38"/>
        <v>1723.4037901418458</v>
      </c>
      <c r="U79" s="14"/>
      <c r="V79" s="14"/>
      <c r="W79" s="14"/>
      <c r="X79" s="14"/>
      <c r="Y79" s="57">
        <f>+L79</f>
        <v>596.86733111019464</v>
      </c>
      <c r="Z79" s="57">
        <f t="shared" si="16"/>
        <v>-304.13008061326695</v>
      </c>
      <c r="AA79" s="57">
        <f t="shared" si="26"/>
        <v>292.73725049692769</v>
      </c>
      <c r="AB79" s="89">
        <f t="shared" si="31"/>
        <v>292.73725049692769</v>
      </c>
      <c r="AC79" s="21">
        <f t="shared" si="23"/>
        <v>585.47450099385537</v>
      </c>
      <c r="AD79" s="56"/>
      <c r="AE79" s="57">
        <f t="shared" si="35"/>
        <v>0</v>
      </c>
      <c r="AF79" s="89">
        <f t="shared" si="33"/>
        <v>292.73725049692769</v>
      </c>
      <c r="AG79" s="89">
        <f t="shared" si="41"/>
        <v>-21291.637907680193</v>
      </c>
    </row>
    <row r="80" spans="2:33">
      <c r="B80" s="89" t="str">
        <f t="shared" si="19"/>
        <v>år 21</v>
      </c>
      <c r="C80" s="57">
        <f t="shared" si="28"/>
        <v>-1195.7375886850466</v>
      </c>
      <c r="D80" s="57">
        <f t="shared" ref="D80:D84" si="47">+(R80-S80)/$B$5*$C$54</f>
        <v>700.60710649268583</v>
      </c>
      <c r="E80" s="89">
        <f t="shared" si="29"/>
        <v>0</v>
      </c>
      <c r="F80" s="57">
        <f t="shared" ref="F80:F84" si="48">-C80*$F$57</f>
        <v>341.98095036392328</v>
      </c>
      <c r="G80" s="89">
        <f t="shared" ref="G80:G84" si="49">+G79+C80+D80+E80+F80</f>
        <v>-40011.069154663324</v>
      </c>
      <c r="H80" s="56"/>
      <c r="I80" s="56"/>
      <c r="J80" s="13" t="s">
        <v>90</v>
      </c>
      <c r="K80" s="57">
        <f t="shared" ref="K80:K84" si="50">+O79*$B$7</f>
        <v>-1215.6978438512194</v>
      </c>
      <c r="L80" s="57">
        <f>+(R80-S80)/$B$5*$K$54</f>
        <v>700.60710649268583</v>
      </c>
      <c r="M80" s="89">
        <f t="shared" si="43"/>
        <v>-379.31882957946891</v>
      </c>
      <c r="N80" s="57">
        <f t="shared" ref="N80:N84" si="51">-K80*$N$57</f>
        <v>347.68958334144872</v>
      </c>
      <c r="O80" s="89">
        <f t="shared" ref="O80:O84" si="52">+O79+K80+L80+M80+N80</f>
        <v>-41069.981445303863</v>
      </c>
      <c r="P80" s="56"/>
      <c r="Q80" s="56"/>
      <c r="R80" s="13">
        <f t="shared" si="37"/>
        <v>4213538.8993344838</v>
      </c>
      <c r="S80" s="13">
        <v>1500000</v>
      </c>
      <c r="T80" s="13">
        <f t="shared" si="38"/>
        <v>1464.893221620569</v>
      </c>
      <c r="U80" s="14"/>
      <c r="V80" s="14"/>
      <c r="W80" s="14"/>
      <c r="X80" s="14"/>
      <c r="Y80" s="57">
        <f>+L80</f>
        <v>700.60710649268583</v>
      </c>
      <c r="Z80" s="57">
        <f t="shared" si="16"/>
        <v>-258.51056852127681</v>
      </c>
      <c r="AA80" s="57">
        <f t="shared" ref="AA80:AA84" si="53">+Y80+Z80</f>
        <v>442.09653797140902</v>
      </c>
      <c r="AB80" s="89">
        <f t="shared" ref="AB80:AB84" si="54">-AE80+AF80</f>
        <v>442.09653797140902</v>
      </c>
      <c r="AC80" s="21">
        <f t="shared" ref="AC80:AC84" si="55">+AA80+AB80</f>
        <v>884.19307594281804</v>
      </c>
      <c r="AD80" s="56"/>
      <c r="AE80" s="57">
        <f t="shared" ref="AE80:AE84" si="56">IF(AA80&lt;0,AA80,0)</f>
        <v>0</v>
      </c>
      <c r="AF80" s="89">
        <f t="shared" ref="AF80:AF84" si="57">IF(AA80&gt;0,IF(-AG79&gt;AA80,AA80,-AG79),0)</f>
        <v>442.09653797140902</v>
      </c>
      <c r="AG80" s="89">
        <f t="shared" ref="AG80:AG84" si="58">+AF80+AG79+AE80</f>
        <v>-20849.541369708782</v>
      </c>
    </row>
    <row r="81" spans="2:33">
      <c r="B81" s="89" t="str">
        <f t="shared" si="19"/>
        <v>år 22</v>
      </c>
      <c r="C81" s="57">
        <f t="shared" si="28"/>
        <v>-1200.3320746398997</v>
      </c>
      <c r="D81" s="57">
        <f t="shared" si="47"/>
        <v>710.33290574824321</v>
      </c>
      <c r="E81" s="89">
        <f t="shared" si="29"/>
        <v>0</v>
      </c>
      <c r="F81" s="57">
        <f t="shared" si="48"/>
        <v>343.29497334701131</v>
      </c>
      <c r="G81" s="89">
        <f t="shared" si="49"/>
        <v>-40157.773350207972</v>
      </c>
      <c r="H81" s="56"/>
      <c r="I81" s="56"/>
      <c r="J81" s="13" t="s">
        <v>91</v>
      </c>
      <c r="K81" s="57">
        <f t="shared" si="50"/>
        <v>-1232.0994433591159</v>
      </c>
      <c r="L81" s="57">
        <f t="shared" si="45"/>
        <v>710.33290574824321</v>
      </c>
      <c r="M81" s="89">
        <f t="shared" si="43"/>
        <v>-420.93387550942549</v>
      </c>
      <c r="N81" s="57">
        <f t="shared" si="51"/>
        <v>352.38044080070711</v>
      </c>
      <c r="O81" s="89">
        <f t="shared" si="52"/>
        <v>-41660.301417623465</v>
      </c>
      <c r="P81" s="56"/>
      <c r="Q81" s="56"/>
      <c r="R81" s="13">
        <f t="shared" si="37"/>
        <v>4266208.1355761643</v>
      </c>
      <c r="S81" s="13">
        <f t="shared" si="40"/>
        <v>1515000</v>
      </c>
      <c r="T81" s="13">
        <f t="shared" si="38"/>
        <v>1245.1592383774837</v>
      </c>
      <c r="U81" s="14"/>
      <c r="V81" s="14"/>
      <c r="W81" s="14"/>
      <c r="X81" s="14"/>
      <c r="Y81" s="57">
        <f t="shared" ref="Y81:Y83" si="59">+L81</f>
        <v>710.33290574824321</v>
      </c>
      <c r="Z81" s="57">
        <f t="shared" si="16"/>
        <v>-219.73398324308528</v>
      </c>
      <c r="AA81" s="57">
        <f t="shared" si="53"/>
        <v>490.59892250515793</v>
      </c>
      <c r="AB81" s="89">
        <f t="shared" si="54"/>
        <v>490.59892250515793</v>
      </c>
      <c r="AC81" s="21">
        <f t="shared" si="55"/>
        <v>981.19784501031586</v>
      </c>
      <c r="AD81" s="56"/>
      <c r="AE81" s="57">
        <f t="shared" si="56"/>
        <v>0</v>
      </c>
      <c r="AF81" s="89">
        <f t="shared" si="57"/>
        <v>490.59892250515793</v>
      </c>
      <c r="AG81" s="89">
        <f t="shared" si="58"/>
        <v>-20358.942447203626</v>
      </c>
    </row>
    <row r="82" spans="2:33">
      <c r="B82" s="89" t="str">
        <f t="shared" si="19"/>
        <v>år 23</v>
      </c>
      <c r="C82" s="57">
        <f t="shared" si="28"/>
        <v>-1204.7332005062392</v>
      </c>
      <c r="D82" s="57">
        <f t="shared" si="47"/>
        <v>720.18995959873916</v>
      </c>
      <c r="E82" s="89">
        <f t="shared" si="29"/>
        <v>0</v>
      </c>
      <c r="F82" s="57">
        <f t="shared" si="48"/>
        <v>344.55369534478439</v>
      </c>
      <c r="G82" s="89">
        <f t="shared" si="49"/>
        <v>-40297.762895770691</v>
      </c>
      <c r="H82" s="56"/>
      <c r="I82" s="56"/>
      <c r="J82" s="13" t="s">
        <v>92</v>
      </c>
      <c r="K82" s="57">
        <f t="shared" si="50"/>
        <v>-1249.8090425287039</v>
      </c>
      <c r="L82" s="57">
        <f t="shared" si="45"/>
        <v>720.18995959873916</v>
      </c>
      <c r="M82" s="89">
        <f t="shared" si="43"/>
        <v>-457.67099135653604</v>
      </c>
      <c r="N82" s="57">
        <f t="shared" si="51"/>
        <v>357.44538616320926</v>
      </c>
      <c r="O82" s="89">
        <f t="shared" si="52"/>
        <v>-42290.146105746753</v>
      </c>
      <c r="P82" s="56"/>
      <c r="Q82" s="56"/>
      <c r="R82" s="13">
        <f t="shared" si="37"/>
        <v>4319535.7372708665</v>
      </c>
      <c r="S82" s="13">
        <f t="shared" si="40"/>
        <v>1530150</v>
      </c>
      <c r="T82" s="13">
        <f t="shared" si="38"/>
        <v>1058.3853526208611</v>
      </c>
      <c r="U82" s="14"/>
      <c r="V82" s="14"/>
      <c r="W82" s="14"/>
      <c r="X82" s="14"/>
      <c r="Y82" s="57">
        <f t="shared" si="59"/>
        <v>720.18995959873916</v>
      </c>
      <c r="Z82" s="57">
        <f t="shared" si="16"/>
        <v>-186.77388575662258</v>
      </c>
      <c r="AA82" s="57">
        <f t="shared" si="53"/>
        <v>533.41607384211659</v>
      </c>
      <c r="AB82" s="89">
        <f t="shared" si="54"/>
        <v>533.41607384211659</v>
      </c>
      <c r="AC82" s="21">
        <f t="shared" si="55"/>
        <v>1066.8321476842332</v>
      </c>
      <c r="AD82" s="56"/>
      <c r="AE82" s="57">
        <f t="shared" si="56"/>
        <v>0</v>
      </c>
      <c r="AF82" s="89">
        <f t="shared" si="57"/>
        <v>533.41607384211659</v>
      </c>
      <c r="AG82" s="89">
        <f t="shared" si="58"/>
        <v>-19825.52637336151</v>
      </c>
    </row>
    <row r="83" spans="2:33">
      <c r="B83" s="89" t="str">
        <f t="shared" si="19"/>
        <v>år 24</v>
      </c>
      <c r="C83" s="57">
        <f t="shared" ref="C83:C84" si="60">+G82*$B$7</f>
        <v>-1208.9328868731207</v>
      </c>
      <c r="D83" s="57">
        <f t="shared" si="47"/>
        <v>730.18000554765263</v>
      </c>
      <c r="E83" s="89">
        <f t="shared" si="29"/>
        <v>0</v>
      </c>
      <c r="F83" s="57">
        <f t="shared" si="48"/>
        <v>345.75480564571245</v>
      </c>
      <c r="G83" s="89">
        <f t="shared" si="49"/>
        <v>-40430.760971450443</v>
      </c>
      <c r="H83" s="56"/>
      <c r="I83" s="56"/>
      <c r="J83" s="13" t="s">
        <v>93</v>
      </c>
      <c r="K83" s="57">
        <f t="shared" si="50"/>
        <v>-1268.7043831724025</v>
      </c>
      <c r="L83" s="57">
        <f t="shared" si="45"/>
        <v>730.18000554765263</v>
      </c>
      <c r="M83" s="89">
        <f t="shared" si="43"/>
        <v>-490.28024987758107</v>
      </c>
      <c r="N83" s="57">
        <f t="shared" si="51"/>
        <v>362.8494535873071</v>
      </c>
      <c r="O83" s="89">
        <f t="shared" si="52"/>
        <v>-42956.101279661765</v>
      </c>
      <c r="P83" s="56"/>
      <c r="Q83" s="56"/>
      <c r="R83" s="13">
        <f t="shared" si="37"/>
        <v>4373529.9339867523</v>
      </c>
      <c r="S83" s="13">
        <f t="shared" si="40"/>
        <v>1545451.5</v>
      </c>
      <c r="T83" s="13">
        <f t="shared" si="38"/>
        <v>899.62754972773189</v>
      </c>
      <c r="U83" s="14"/>
      <c r="V83" s="14"/>
      <c r="W83" s="14"/>
      <c r="X83" s="14"/>
      <c r="Y83" s="57">
        <f t="shared" si="59"/>
        <v>730.18000554765263</v>
      </c>
      <c r="Z83" s="57">
        <f t="shared" si="16"/>
        <v>-158.75780289312922</v>
      </c>
      <c r="AA83" s="57">
        <f t="shared" si="53"/>
        <v>571.4222026545234</v>
      </c>
      <c r="AB83" s="89">
        <f t="shared" si="54"/>
        <v>571.4222026545234</v>
      </c>
      <c r="AC83" s="21">
        <f t="shared" si="55"/>
        <v>1142.8444053090468</v>
      </c>
      <c r="AD83" s="56"/>
      <c r="AE83" s="57">
        <f t="shared" si="56"/>
        <v>0</v>
      </c>
      <c r="AF83" s="89">
        <f t="shared" si="57"/>
        <v>571.4222026545234</v>
      </c>
      <c r="AG83" s="89">
        <f t="shared" si="58"/>
        <v>-19254.104170706985</v>
      </c>
    </row>
    <row r="84" spans="2:33">
      <c r="B84" s="89" t="str">
        <f t="shared" si="19"/>
        <v>år 25</v>
      </c>
      <c r="C84" s="57">
        <f t="shared" si="60"/>
        <v>-1212.9228291435134</v>
      </c>
      <c r="D84" s="57">
        <f t="shared" si="47"/>
        <v>740.30480378546702</v>
      </c>
      <c r="E84" s="89">
        <f t="shared" si="29"/>
        <v>0</v>
      </c>
      <c r="F84" s="57">
        <f t="shared" si="48"/>
        <v>346.89592913504481</v>
      </c>
      <c r="G84" s="89">
        <f t="shared" si="49"/>
        <v>-40556.483067673442</v>
      </c>
      <c r="H84" s="56"/>
      <c r="I84" s="56"/>
      <c r="J84" s="13" t="s">
        <v>94</v>
      </c>
      <c r="K84" s="57">
        <f t="shared" si="50"/>
        <v>-1288.683038389853</v>
      </c>
      <c r="L84" s="57">
        <f t="shared" si="45"/>
        <v>740.30480378546702</v>
      </c>
      <c r="M84" s="89">
        <f>+AC84*-$M$57</f>
        <v>-519.39945599797159</v>
      </c>
      <c r="N84" s="57">
        <f t="shared" si="51"/>
        <v>368.5633489794979</v>
      </c>
      <c r="O84" s="89">
        <f t="shared" si="52"/>
        <v>-43655.315621284622</v>
      </c>
      <c r="P84" s="56"/>
      <c r="Q84" s="56"/>
      <c r="R84" s="13">
        <f t="shared" si="37"/>
        <v>4428199.0581615865</v>
      </c>
      <c r="S84" s="13">
        <f t="shared" si="40"/>
        <v>1560906.0149999999</v>
      </c>
      <c r="T84" s="13">
        <f t="shared" si="38"/>
        <v>764.68341726857204</v>
      </c>
      <c r="U84" s="14"/>
      <c r="V84" s="14"/>
      <c r="W84" s="14"/>
      <c r="X84" s="14"/>
      <c r="Y84" s="57">
        <f>+L84</f>
        <v>740.30480378546702</v>
      </c>
      <c r="Z84" s="57">
        <f t="shared" si="16"/>
        <v>-134.94413245915985</v>
      </c>
      <c r="AA84" s="57">
        <f t="shared" si="53"/>
        <v>605.36067132630717</v>
      </c>
      <c r="AB84" s="89">
        <f t="shared" si="54"/>
        <v>605.36067132630717</v>
      </c>
      <c r="AC84" s="21">
        <f t="shared" si="55"/>
        <v>1210.7213426526143</v>
      </c>
      <c r="AD84" s="56"/>
      <c r="AE84" s="57">
        <f t="shared" si="56"/>
        <v>0</v>
      </c>
      <c r="AF84" s="89">
        <f t="shared" si="57"/>
        <v>605.36067132630717</v>
      </c>
      <c r="AG84" s="89">
        <f t="shared" si="58"/>
        <v>-18648.743499380678</v>
      </c>
    </row>
    <row r="85" spans="2:33">
      <c r="B85" s="89"/>
      <c r="C85" s="56"/>
      <c r="D85" s="57"/>
      <c r="E85" s="56"/>
      <c r="F85" s="56"/>
      <c r="G85" s="56"/>
      <c r="H85" s="56"/>
      <c r="I85" s="56"/>
      <c r="J85" s="15"/>
      <c r="K85" s="56"/>
      <c r="L85" s="56"/>
      <c r="M85" s="56"/>
      <c r="N85" s="56"/>
      <c r="O85" s="56"/>
      <c r="P85" s="56"/>
      <c r="Q85" s="56"/>
      <c r="R85" s="17">
        <f>SUM(R60:R84)</f>
        <v>137486098.38433346</v>
      </c>
      <c r="S85" s="17">
        <f>SUM(S60:S84)</f>
        <v>40462097.510880575</v>
      </c>
      <c r="T85" s="13">
        <f t="shared" si="38"/>
        <v>649.98090467828627</v>
      </c>
      <c r="U85" s="16"/>
      <c r="V85" s="16"/>
      <c r="W85" s="16"/>
      <c r="X85" s="56"/>
      <c r="Y85" s="56"/>
      <c r="Z85" s="56"/>
      <c r="AA85" s="56"/>
      <c r="AB85" s="56"/>
      <c r="AC85" s="56"/>
      <c r="AD85" s="56"/>
      <c r="AE85" s="56"/>
      <c r="AF85" s="56"/>
      <c r="AG85" s="56"/>
    </row>
    <row r="86" spans="2:33">
      <c r="B86" s="89"/>
      <c r="C86" s="57"/>
      <c r="D86" s="57"/>
      <c r="E86" s="56"/>
      <c r="F86" s="56"/>
      <c r="G86" s="56"/>
      <c r="H86" s="56"/>
      <c r="I86" s="56"/>
      <c r="J86" s="15"/>
      <c r="K86" s="56"/>
      <c r="L86" s="56"/>
      <c r="M86" s="56"/>
      <c r="N86" s="56"/>
      <c r="O86" s="56"/>
      <c r="P86" s="56"/>
      <c r="Q86" s="56"/>
      <c r="R86" s="15">
        <f>+R85-S85</f>
        <v>97024000.873452887</v>
      </c>
      <c r="S86" s="16"/>
      <c r="T86" s="16"/>
      <c r="U86" s="16"/>
      <c r="V86" s="16"/>
      <c r="W86" s="16"/>
      <c r="X86" s="56"/>
      <c r="Y86" s="56"/>
      <c r="Z86" s="56"/>
      <c r="AA86" s="56"/>
      <c r="AB86" s="56"/>
      <c r="AC86" s="56"/>
      <c r="AD86" s="56"/>
      <c r="AE86" s="56"/>
      <c r="AF86" s="56"/>
      <c r="AG86" s="56"/>
    </row>
    <row r="87" spans="2:33">
      <c r="B87" s="89"/>
      <c r="C87" s="56"/>
      <c r="D87" s="57"/>
      <c r="E87" s="56"/>
      <c r="F87" s="56"/>
      <c r="G87" s="56"/>
      <c r="H87" s="56"/>
      <c r="I87" s="56"/>
      <c r="J87" s="15"/>
      <c r="K87" s="15"/>
      <c r="L87" s="16"/>
      <c r="M87" s="16"/>
      <c r="N87" s="16"/>
      <c r="O87" s="16"/>
      <c r="P87" s="1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</row>
    <row r="88" spans="2:33">
      <c r="B88" s="57"/>
      <c r="C88" s="56"/>
      <c r="D88" s="57"/>
      <c r="E88" s="56"/>
      <c r="F88" s="56"/>
      <c r="G88" s="56"/>
      <c r="H88" s="56"/>
      <c r="I88" s="56"/>
      <c r="J88" s="16"/>
      <c r="K88" s="16"/>
      <c r="L88" s="16"/>
      <c r="M88" s="16"/>
      <c r="N88" s="16"/>
      <c r="O88" s="16"/>
      <c r="P88" s="1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</row>
    <row r="89" spans="2:33">
      <c r="B89" s="3"/>
      <c r="C89" s="56"/>
      <c r="D89" s="57"/>
      <c r="E89" s="56"/>
      <c r="F89" s="56"/>
      <c r="G89" s="56"/>
      <c r="H89" s="56"/>
      <c r="I89" s="56"/>
      <c r="J89" s="16"/>
      <c r="K89" s="16"/>
      <c r="L89" s="16"/>
      <c r="M89" s="16"/>
      <c r="N89" s="16"/>
      <c r="O89" s="16"/>
      <c r="P89" s="1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</row>
    <row r="90" spans="2:33">
      <c r="B90" s="57"/>
      <c r="C90" s="57"/>
      <c r="D90" s="57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</row>
    <row r="91" spans="2:33">
      <c r="B91" s="57"/>
      <c r="C91" s="56"/>
      <c r="D91" s="57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</row>
    <row r="92" spans="2:33">
      <c r="B92" s="57"/>
      <c r="C92" s="56"/>
      <c r="D92" s="57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</row>
    <row r="93" spans="2:33">
      <c r="B93" s="3"/>
      <c r="C93" s="56"/>
      <c r="D93" s="57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</row>
    <row r="94" spans="2:33">
      <c r="B94" s="57"/>
      <c r="C94" s="57"/>
      <c r="D94" s="57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</row>
    <row r="95" spans="2:33">
      <c r="B95" s="57"/>
      <c r="C95" s="56"/>
      <c r="D95" s="57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</row>
    <row r="96" spans="2:33">
      <c r="B96" s="57"/>
      <c r="C96" s="56"/>
      <c r="D96" s="57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</row>
    <row r="97" spans="2:4">
      <c r="B97" s="3"/>
      <c r="C97" s="56"/>
      <c r="D97" s="57"/>
    </row>
    <row r="98" spans="2:4">
      <c r="B98" s="57"/>
      <c r="C98" s="57"/>
      <c r="D98" s="57"/>
    </row>
    <row r="99" spans="2:4">
      <c r="B99" s="57"/>
      <c r="C99" s="56"/>
      <c r="D99" s="57"/>
    </row>
    <row r="100" spans="2:4">
      <c r="B100" s="57"/>
      <c r="C100" s="56"/>
      <c r="D100" s="57"/>
    </row>
    <row r="101" spans="2:4">
      <c r="B101" s="3"/>
      <c r="C101" s="56"/>
      <c r="D101" s="57"/>
    </row>
    <row r="102" spans="2:4">
      <c r="B102" s="57"/>
      <c r="C102" s="57"/>
      <c r="D102" s="57"/>
    </row>
    <row r="103" spans="2:4">
      <c r="B103" s="57"/>
      <c r="C103" s="56"/>
      <c r="D103" s="57"/>
    </row>
    <row r="104" spans="2:4">
      <c r="B104" s="57"/>
      <c r="C104" s="56"/>
      <c r="D104" s="57"/>
    </row>
    <row r="105" spans="2:4">
      <c r="B105" s="3"/>
      <c r="C105" s="56"/>
      <c r="D105" s="57"/>
    </row>
    <row r="106" spans="2:4">
      <c r="B106" s="57"/>
      <c r="C106" s="57"/>
      <c r="D106" s="57"/>
    </row>
    <row r="107" spans="2:4">
      <c r="B107" s="57"/>
      <c r="C107" s="56"/>
      <c r="D107" s="57"/>
    </row>
    <row r="108" spans="2:4">
      <c r="B108" s="57"/>
      <c r="C108" s="56"/>
      <c r="D108" s="57"/>
    </row>
    <row r="109" spans="2:4">
      <c r="B109" s="3"/>
      <c r="C109" s="56"/>
      <c r="D109" s="57"/>
    </row>
    <row r="110" spans="2:4">
      <c r="B110" s="57"/>
      <c r="C110" s="57"/>
      <c r="D110" s="57"/>
    </row>
    <row r="111" spans="2:4">
      <c r="B111" s="57"/>
      <c r="C111" s="56"/>
      <c r="D111" s="57"/>
    </row>
    <row r="112" spans="2:4">
      <c r="B112" s="57"/>
      <c r="C112" s="56"/>
      <c r="D112" s="57"/>
    </row>
    <row r="113" spans="2:4">
      <c r="B113" s="3"/>
      <c r="C113" s="56"/>
      <c r="D113" s="57"/>
    </row>
    <row r="114" spans="2:4">
      <c r="B114" s="57"/>
      <c r="C114" s="57"/>
      <c r="D114" s="57"/>
    </row>
    <row r="115" spans="2:4">
      <c r="B115" s="57"/>
      <c r="C115" s="56"/>
      <c r="D115" s="57"/>
    </row>
    <row r="116" spans="2:4">
      <c r="B116" s="57"/>
      <c r="C116" s="56"/>
      <c r="D116" s="57"/>
    </row>
    <row r="117" spans="2:4">
      <c r="B117" s="3"/>
      <c r="C117" s="56"/>
      <c r="D117" s="57"/>
    </row>
    <row r="118" spans="2:4">
      <c r="B118" s="57"/>
      <c r="C118" s="57"/>
      <c r="D118" s="57"/>
    </row>
    <row r="119" spans="2:4">
      <c r="B119" s="57"/>
      <c r="C119" s="56"/>
      <c r="D119" s="57"/>
    </row>
    <row r="120" spans="2:4">
      <c r="B120" s="57"/>
      <c r="C120" s="56"/>
      <c r="D120" s="57"/>
    </row>
    <row r="121" spans="2:4">
      <c r="B121" s="3"/>
      <c r="C121" s="56"/>
      <c r="D121" s="57"/>
    </row>
    <row r="122" spans="2:4">
      <c r="B122" s="57"/>
      <c r="C122" s="57"/>
      <c r="D122" s="57"/>
    </row>
    <row r="123" spans="2:4">
      <c r="B123" s="57"/>
      <c r="C123" s="56"/>
      <c r="D123" s="57"/>
    </row>
    <row r="124" spans="2:4">
      <c r="B124" s="57"/>
      <c r="C124" s="56"/>
      <c r="D124" s="57"/>
    </row>
    <row r="125" spans="2:4">
      <c r="B125" s="3"/>
      <c r="C125" s="56"/>
      <c r="D125" s="57"/>
    </row>
    <row r="126" spans="2:4">
      <c r="B126" s="57"/>
      <c r="C126" s="57"/>
      <c r="D126" s="57"/>
    </row>
    <row r="127" spans="2:4">
      <c r="B127" s="57"/>
      <c r="C127" s="57"/>
      <c r="D127" s="57"/>
    </row>
    <row r="128" spans="2:4">
      <c r="B128" s="57"/>
      <c r="C128" s="89"/>
      <c r="D128" s="57"/>
    </row>
  </sheetData>
  <mergeCells count="11">
    <mergeCell ref="Y57:AF57"/>
    <mergeCell ref="J51:K51"/>
    <mergeCell ref="B51:C51"/>
    <mergeCell ref="C21:H21"/>
    <mergeCell ref="K21:P21"/>
    <mergeCell ref="C22:D22"/>
    <mergeCell ref="E22:F22"/>
    <mergeCell ref="G22:H22"/>
    <mergeCell ref="K22:L22"/>
    <mergeCell ref="M22:N22"/>
    <mergeCell ref="O22:P22"/>
  </mergeCells>
  <pageMargins left="0.7" right="0.7" top="0.75" bottom="0.75" header="0.3" footer="0.3"/>
  <pageSetup paperSize="9" scale="38" orientation="portrait" r:id="rId1"/>
  <colBreaks count="1" manualBreakCount="1"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" ma:contentTypeID="0x01010062D89BF639934700BDA9B10A7AD3B0F600167CCD80A8CDC147B1813CE19BDB0B87" ma:contentTypeVersion="9" ma:contentTypeDescription="Opret et nyt dokument." ma:contentTypeScope="" ma:versionID="1585a046aab9453ac0190a88bf71395f">
  <xsd:schema xmlns:xsd="http://www.w3.org/2001/XMLSchema" xmlns:xs="http://www.w3.org/2001/XMLSchema" xmlns:p="http://schemas.microsoft.com/office/2006/metadata/properties" xmlns:ns2="434f9bdf-250a-49fd-9211-5e5acf214d1b" targetNamespace="http://schemas.microsoft.com/office/2006/metadata/properties" ma:root="true" ma:fieldsID="9fa00d7ad77b5443453eee70de026acb" ns2:_="">
    <xsd:import namespace="434f9bdf-250a-49fd-9211-5e5acf214d1b"/>
    <xsd:element name="properties">
      <xsd:complexType>
        <xsd:sequence>
          <xsd:element name="documentManagement">
            <xsd:complexType>
              <xsd:all>
                <xsd:element ref="ns2:k7913c702e014fddaf1908da428f2c07" minOccurs="0"/>
                <xsd:element ref="ns2:TaxCatchAll" minOccurs="0"/>
                <xsd:element ref="ns2:TaxCatchAllLabel" minOccurs="0"/>
                <xsd:element ref="ns2:ice4b73aaa5c45b2a741539642cf40d2" minOccurs="0"/>
                <xsd:element ref="ns2:BDOP_IsMasterArchive" minOccurs="0"/>
                <xsd:element ref="ns2:BDOP_CustomerNumber"/>
                <xsd:element ref="ns2:BDOP_CustomerTitle" minOccurs="0"/>
                <xsd:element ref="ns2:BDOP_CustomerName" minOccurs="0"/>
                <xsd:element ref="ns2:BDOP_CaseId" minOccurs="0"/>
                <xsd:element ref="ns2:BDOP_CaseTitle" minOccurs="0"/>
                <xsd:element ref="ns2:BDOP_CaseFolderId" minOccurs="0"/>
                <xsd:element ref="ns2:BDOP_CaseFolder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f9bdf-250a-49fd-9211-5e5acf214d1b" elementFormDefault="qualified">
    <xsd:import namespace="http://schemas.microsoft.com/office/2006/documentManagement/types"/>
    <xsd:import namespace="http://schemas.microsoft.com/office/infopath/2007/PartnerControls"/>
    <xsd:element name="k7913c702e014fddaf1908da428f2c07" ma:index="8" ma:taxonomy="true" ma:internalName="k7913c702e014fddaf1908da428f2c07" ma:taxonomyFieldName="BDOP_Year" ma:displayName="År" ma:default="1;#SKAL UDFYLDES|386c59a6-03a5-4758-9eb4-fb75797854ea" ma:fieldId="{47913c70-2e01-4fdd-af19-08da428f2c07}" ma:sspId="034ccd76-7b00-4ff7-a7f6-adac6874b78b" ma:termSetId="bd0fb4a5-4f07-4db6-8c57-3f5051bb0d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e6b22eb4-4b91-4988-8681-d9e3f592ca2e}" ma:internalName="TaxCatchAll" ma:showField="CatchAllData" ma:web="c91b17b0-fbd9-4c21-99b6-ed31346c19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e6b22eb4-4b91-4988-8681-d9e3f592ca2e}" ma:internalName="TaxCatchAllLabel" ma:readOnly="true" ma:showField="CatchAllDataLabel" ma:web="c91b17b0-fbd9-4c21-99b6-ed31346c19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ce4b73aaa5c45b2a741539642cf40d2" ma:index="12" ma:taxonomy="true" ma:internalName="ice4b73aaa5c45b2a741539642cf40d2" ma:taxonomyFieldName="BDOP_Category" ma:displayName="Kategori" ma:default="2;#SKAL UDFYLDES|012e42ae-c6e5-4f97-8cb6-6e0139ab1d0b" ma:fieldId="{2ce4b73a-aa5c-45b2-a741-539642cf40d2}" ma:sspId="034ccd76-7b00-4ff7-a7f6-adac6874b78b" ma:termSetId="1c5d7eab-e4b9-45ef-8245-b9a98f1c51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DOP_IsMasterArchive" ma:index="14" nillable="true" ma:displayName="Er stamarkiv" ma:internalName="BDOP_IsMasterArchive">
      <xsd:simpleType>
        <xsd:restriction base="dms:Boolean"/>
      </xsd:simpleType>
    </xsd:element>
    <xsd:element name="BDOP_CustomerNumber" ma:index="15" ma:displayName="KundeNummer" ma:default="722079" ma:internalName="BDOP_CustomerNumber">
      <xsd:simpleType>
        <xsd:restriction base="dms:Text"/>
      </xsd:simpleType>
    </xsd:element>
    <xsd:element name="BDOP_CustomerTitle" ma:index="16" nillable="true" ma:displayName="Kundetitel" ma:internalName="BDOP_CustomerTitle">
      <xsd:simpleType>
        <xsd:restriction base="dms:Text"/>
      </xsd:simpleType>
    </xsd:element>
    <xsd:element name="BDOP_CustomerName" ma:index="17" nillable="true" ma:displayName="Kundenavn" ma:default="Handest Vindmøllelaug K/S" ma:internalName="BDOP_CustomerName">
      <xsd:simpleType>
        <xsd:restriction base="dms:Text"/>
      </xsd:simpleType>
    </xsd:element>
    <xsd:element name="BDOP_CaseId" ma:index="18" nillable="true" ma:displayName="SagsId" ma:internalName="BDOP_CaseId">
      <xsd:simpleType>
        <xsd:restriction base="dms:Text"/>
      </xsd:simpleType>
    </xsd:element>
    <xsd:element name="BDOP_CaseTitle" ma:index="19" nillable="true" ma:displayName="Sagsnavn" ma:internalName="BDOP_CaseTitle">
      <xsd:simpleType>
        <xsd:restriction base="dms:Text"/>
      </xsd:simpleType>
    </xsd:element>
    <xsd:element name="BDOP_CaseFolderId" ma:index="20" nillable="true" ma:displayName="SagsmappeId" ma:internalName="BDOP_CaseFolderId">
      <xsd:simpleType>
        <xsd:restriction base="dms:Text"/>
      </xsd:simpleType>
    </xsd:element>
    <xsd:element name="BDOP_CaseFolderName" ma:index="21" nillable="true" ma:displayName="Sagsmappenavn" ma:internalName="BDOP_CaseFolderNam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434f9bdf-250a-49fd-9211-5e5acf214d1b">
      <Value>6</Value>
      <Value>3</Value>
    </TaxCatchAll>
    <BDOP_IsMasterArchive xmlns="434f9bdf-250a-49fd-9211-5e5acf214d1b">false</BDOP_IsMasterArchive>
    <BDOP_CaseFolderId xmlns="434f9bdf-250a-49fd-9211-5e5acf214d1b" xsi:nil="true"/>
    <BDOP_CustomerNumber xmlns="434f9bdf-250a-49fd-9211-5e5acf214d1b">722079</BDOP_CustomerNumber>
    <k7913c702e014fddaf1908da428f2c07 xmlns="434f9bdf-250a-49fd-9211-5e5acf214d1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</TermName>
          <TermId xmlns="http://schemas.microsoft.com/office/infopath/2007/PartnerControls">58df131a-dad2-490b-934f-e94ced371662</TermId>
        </TermInfo>
      </Terms>
    </k7913c702e014fddaf1908da428f2c07>
    <ice4b73aaa5c45b2a741539642cf40d2 xmlns="434f9bdf-250a-49fd-9211-5e5acf214d1b">
      <Terms xmlns="http://schemas.microsoft.com/office/infopath/2007/PartnerControls">
        <TermInfo xmlns="http://schemas.microsoft.com/office/infopath/2007/PartnerControls">
          <TermName xmlns="http://schemas.microsoft.com/office/infopath/2007/PartnerControls">Økonomistyring</TermName>
          <TermId xmlns="http://schemas.microsoft.com/office/infopath/2007/PartnerControls">0bdd6322-5776-43b0-8ddf-25aebd153ad1</TermId>
        </TermInfo>
      </Terms>
    </ice4b73aaa5c45b2a741539642cf40d2>
    <BDOP_CustomerName xmlns="434f9bdf-250a-49fd-9211-5e5acf214d1b">Handest Vindmøllelaug K/S</BDOP_CustomerName>
    <BDOP_CaseTitle xmlns="434f9bdf-250a-49fd-9211-5e5acf214d1b" xsi:nil="true"/>
    <BDOP_CaseId xmlns="434f9bdf-250a-49fd-9211-5e5acf214d1b" xsi:nil="true"/>
    <BDOP_CustomerTitle xmlns="434f9bdf-250a-49fd-9211-5e5acf214d1b" xsi:nil="true"/>
    <BDOP_CaseFolderName xmlns="434f9bdf-250a-49fd-9211-5e5acf214d1b" xsi:nil="true"/>
  </documentManagement>
</p:properties>
</file>

<file path=customXml/item4.xml><?xml version="1.0" encoding="utf-8"?>
<?mso-contentType ?>
<SharedContentType xmlns="Microsoft.SharePoint.Taxonomy.ContentTypeSync" SourceId="034ccd76-7b00-4ff7-a7f6-adac6874b78b" ContentTypeId="0x01010062D89BF639934700BDA9B10A7AD3B0F6" PreviousValue="false"/>
</file>

<file path=customXml/itemProps1.xml><?xml version="1.0" encoding="utf-8"?>
<ds:datastoreItem xmlns:ds="http://schemas.openxmlformats.org/officeDocument/2006/customXml" ds:itemID="{FC05EC41-55BB-4E1A-9AB6-AC3DD172EEB8}"/>
</file>

<file path=customXml/itemProps2.xml><?xml version="1.0" encoding="utf-8"?>
<ds:datastoreItem xmlns:ds="http://schemas.openxmlformats.org/officeDocument/2006/customXml" ds:itemID="{F324EF62-F437-456A-8E14-21BFBB29EDB0}"/>
</file>

<file path=customXml/itemProps3.xml><?xml version="1.0" encoding="utf-8"?>
<ds:datastoreItem xmlns:ds="http://schemas.openxmlformats.org/officeDocument/2006/customXml" ds:itemID="{D0436104-9658-4915-9DC9-846B08681327}"/>
</file>

<file path=customXml/itemProps4.xml><?xml version="1.0" encoding="utf-8"?>
<ds:datastoreItem xmlns:ds="http://schemas.openxmlformats.org/officeDocument/2006/customXml" ds:itemID="{CA012BA2-1C2D-47AD-8DC2-697B7357FF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BDO ScanRevision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regneeksempler Handest Laug.xlsx</dc:title>
  <dc:subject/>
  <dc:creator>Thomas Nielsen</dc:creator>
  <cp:keywords/>
  <dc:description/>
  <cp:lastModifiedBy>Hanne B. Kjeldsen</cp:lastModifiedBy>
  <cp:revision/>
  <dcterms:created xsi:type="dcterms:W3CDTF">2008-09-22T08:59:07Z</dcterms:created>
  <dcterms:modified xsi:type="dcterms:W3CDTF">2024-02-05T10:45:22Z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doCustomerID">
    <vt:lpwstr>721062</vt:lpwstr>
  </property>
  <property fmtid="{D5CDD505-2E9C-101B-9397-08002B2CF9AE}" pid="3" name="ContentTypeId">
    <vt:lpwstr>0x01010062D89BF639934700BDA9B10A7AD3B0F600167CCD80A8CDC147B1813CE19BDB0B87</vt:lpwstr>
  </property>
  <property fmtid="{D5CDD505-2E9C-101B-9397-08002B2CF9AE}" pid="4" name="BDOP_Category">
    <vt:lpwstr>6;#Økonomistyring|0bdd6322-5776-43b0-8ddf-25aebd153ad1</vt:lpwstr>
  </property>
  <property fmtid="{D5CDD505-2E9C-101B-9397-08002B2CF9AE}" pid="5" name="BDOP_Year">
    <vt:lpwstr>3;#2017|58df131a-dad2-490b-934f-e94ced371662</vt:lpwstr>
  </property>
</Properties>
</file>